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METRO ALA" sheetId="1" r:id="rId1"/>
  </sheets>
  <calcPr calcId="145621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</calcChain>
</file>

<file path=xl/sharedStrings.xml><?xml version="1.0" encoding="utf-8"?>
<sst xmlns="http://schemas.openxmlformats.org/spreadsheetml/2006/main" count="13338" uniqueCount="2256">
  <si>
    <t>Item SKU</t>
  </si>
  <si>
    <t>UPC</t>
  </si>
  <si>
    <t>Product Name</t>
  </si>
  <si>
    <t>Short Description</t>
  </si>
  <si>
    <t>Theme</t>
  </si>
  <si>
    <t>Category</t>
  </si>
  <si>
    <t>Unit Increment</t>
  </si>
  <si>
    <t>Order Minimum</t>
  </si>
  <si>
    <t>Order UOM</t>
  </si>
  <si>
    <t>Wholesale Price</t>
  </si>
  <si>
    <t>Retail Price</t>
  </si>
  <si>
    <t>Sale Price</t>
  </si>
  <si>
    <t>IMAP</t>
  </si>
  <si>
    <t>IMAP Price</t>
  </si>
  <si>
    <t>UMAP</t>
  </si>
  <si>
    <t>UMAP Price</t>
  </si>
  <si>
    <t>UMRP</t>
  </si>
  <si>
    <t>UMRP Price</t>
  </si>
  <si>
    <t>Height</t>
  </si>
  <si>
    <t>Length</t>
  </si>
  <si>
    <t>Width</t>
  </si>
  <si>
    <t>Extends</t>
  </si>
  <si>
    <t>Weight</t>
  </si>
  <si>
    <t>Cartons Per Unit</t>
  </si>
  <si>
    <t>Carton Height</t>
  </si>
  <si>
    <t>Carton Length</t>
  </si>
  <si>
    <t>Carton Width</t>
  </si>
  <si>
    <t>Carton Cubic Feet</t>
  </si>
  <si>
    <t>Gross Weight</t>
  </si>
  <si>
    <t>Voltage</t>
  </si>
  <si>
    <t>Number of Bulbs</t>
  </si>
  <si>
    <t>Type of Bulbs</t>
  </si>
  <si>
    <t>Max Wattage</t>
  </si>
  <si>
    <t>Number of Bulbs2</t>
  </si>
  <si>
    <t>Type of Bulbs2</t>
  </si>
  <si>
    <t>Max_Wattage2</t>
  </si>
  <si>
    <t>Bulb Included</t>
  </si>
  <si>
    <t>Number of Arms</t>
  </si>
  <si>
    <t>CSA</t>
  </si>
  <si>
    <t>ETL</t>
  </si>
  <si>
    <t>UL</t>
  </si>
  <si>
    <t>Shipped Via</t>
  </si>
  <si>
    <t>Status</t>
  </si>
  <si>
    <t>Status Date</t>
  </si>
  <si>
    <t>Master Pack Barcode</t>
  </si>
  <si>
    <t>Ranking</t>
  </si>
  <si>
    <t>Sales Price Info</t>
  </si>
  <si>
    <t>Energy Star</t>
  </si>
  <si>
    <t>Designer</t>
  </si>
  <si>
    <t>Finish</t>
  </si>
  <si>
    <t>Special Features</t>
  </si>
  <si>
    <t>Style</t>
  </si>
  <si>
    <t>Style Category</t>
  </si>
  <si>
    <t>Shade</t>
  </si>
  <si>
    <t>Glass</t>
  </si>
  <si>
    <t>Crystal</t>
  </si>
  <si>
    <t>Long description</t>
  </si>
  <si>
    <t>Image Name</t>
  </si>
  <si>
    <t>Dark Sky</t>
  </si>
  <si>
    <t>ADA</t>
  </si>
  <si>
    <t>Title 24</t>
  </si>
  <si>
    <t>Outdoor Listed</t>
  </si>
  <si>
    <t>Environment Location</t>
  </si>
  <si>
    <t>Install Position</t>
  </si>
  <si>
    <t>Backplate Width</t>
  </si>
  <si>
    <t>Backplate Height</t>
  </si>
  <si>
    <t>Backplate Diameter</t>
  </si>
  <si>
    <t>Backplate Length</t>
  </si>
  <si>
    <t>Canopy Plate Diameter</t>
  </si>
  <si>
    <t>Canopy Plate Height</t>
  </si>
  <si>
    <t>Canopy Plate Length</t>
  </si>
  <si>
    <t>Canopy Plate Width</t>
  </si>
  <si>
    <t>Downrod 1 Length</t>
  </si>
  <si>
    <t>Downrod 2 Length</t>
  </si>
  <si>
    <t>Downrod Width</t>
  </si>
  <si>
    <t>Blade Pitch</t>
  </si>
  <si>
    <t>Light Kit Included</t>
  </si>
  <si>
    <t>Blade Finish</t>
  </si>
  <si>
    <t>Base Item Number 1</t>
  </si>
  <si>
    <t>Finish Category</t>
  </si>
  <si>
    <t>rpm</t>
  </si>
  <si>
    <t>amps</t>
  </si>
  <si>
    <t>watts</t>
  </si>
  <si>
    <t>Hight CFM</t>
  </si>
  <si>
    <t>Color Temp</t>
  </si>
  <si>
    <t>cri</t>
  </si>
  <si>
    <t>Initial Lumens</t>
  </si>
  <si>
    <t>Delivered Lumens</t>
  </si>
  <si>
    <t>Rated Life Hours</t>
  </si>
  <si>
    <t>Dimmable</t>
  </si>
  <si>
    <t>Slope</t>
  </si>
  <si>
    <t>Material</t>
  </si>
  <si>
    <t>Initial Date</t>
  </si>
  <si>
    <t>Last Update</t>
  </si>
  <si>
    <t>C7056/12</t>
  </si>
  <si>
    <t>12 LIGHT CHANDELIER</t>
  </si>
  <si>
    <t>CAMER - 12 LIGHT CHANDELIER</t>
  </si>
  <si>
    <t>CAMER</t>
  </si>
  <si>
    <t>OTHER CHANDELIER FIXTURES</t>
  </si>
  <si>
    <t>EA</t>
  </si>
  <si>
    <t>Y</t>
  </si>
  <si>
    <t>Candelabra</t>
  </si>
  <si>
    <t>N</t>
  </si>
  <si>
    <t>TRK</t>
  </si>
  <si>
    <t>A</t>
  </si>
  <si>
    <t>TRANSITIONAL</t>
  </si>
  <si>
    <t>C7056-12.JPG</t>
  </si>
  <si>
    <t>DRY</t>
  </si>
  <si>
    <t>C7056</t>
  </si>
  <si>
    <t>Murano Glass</t>
  </si>
  <si>
    <t>C7056/8</t>
  </si>
  <si>
    <t>8 LIGHT CHANDELIER</t>
  </si>
  <si>
    <t>CAMER - 8 LIGHT CHANDELIER</t>
  </si>
  <si>
    <t>C7056-8.JPG</t>
  </si>
  <si>
    <t>G12374</t>
  </si>
  <si>
    <t>GLASS SHADE</t>
  </si>
  <si>
    <t>REPLACEMENT GLASS &amp; PARTS</t>
  </si>
  <si>
    <t>UPS</t>
  </si>
  <si>
    <t>GLASS</t>
  </si>
  <si>
    <t>G12374.JPG</t>
  </si>
  <si>
    <t>GL2031</t>
  </si>
  <si>
    <t>REPLACEMENT GLASS SHADE</t>
  </si>
  <si>
    <t>REPLACEMENT GLASS FOR N2031</t>
  </si>
  <si>
    <t>GL2031.JPG</t>
  </si>
  <si>
    <t>GL2034</t>
  </si>
  <si>
    <t>REPLACEMENT GLASS FOR N2034</t>
  </si>
  <si>
    <t>GL2034.JPG</t>
  </si>
  <si>
    <t>GL2955</t>
  </si>
  <si>
    <t>REPLACEMENT GLASS FOR N2955-1-267B</t>
  </si>
  <si>
    <t>BRUSHED CARAMEL SILK</t>
  </si>
  <si>
    <t>GL2955.JPG</t>
  </si>
  <si>
    <t>GL2958</t>
  </si>
  <si>
    <t>BRUSHED CARAMEL SILK GLASS</t>
  </si>
  <si>
    <t>REPLACEMENT GLASS FOR N2958-1-267B</t>
  </si>
  <si>
    <t>GL2958.JPG</t>
  </si>
  <si>
    <t>GL6075</t>
  </si>
  <si>
    <t>VIDRIO ARTISTICO GLASS</t>
  </si>
  <si>
    <t>REPLACEMENT GLASS FOR N6069 / 75 / 79-194</t>
  </si>
  <si>
    <t>GL6075.JPG</t>
  </si>
  <si>
    <t>GL6082-S</t>
  </si>
  <si>
    <t>REPLACEMENT GLASS FOR N6069 / 78 / 79 / 82-194</t>
  </si>
  <si>
    <t>GL6082-S.JPG</t>
  </si>
  <si>
    <t>GL6083</t>
  </si>
  <si>
    <t>VIDRIO ARTISCO GLASS</t>
  </si>
  <si>
    <t>REPLACEMENT GLASS FOR N6083-194</t>
  </si>
  <si>
    <t>GL6083.JPG</t>
  </si>
  <si>
    <t>GL6228-L</t>
  </si>
  <si>
    <t>CRYSTAL</t>
  </si>
  <si>
    <t>REPLACEMENT GLASS FOR N6228-228</t>
  </si>
  <si>
    <t>GL6228-L.JPG</t>
  </si>
  <si>
    <t>GL6228-S</t>
  </si>
  <si>
    <t>GL6228-S.JPG</t>
  </si>
  <si>
    <t>GL6957</t>
  </si>
  <si>
    <t>REPLACEMENT GLASS FOR N6957 / 62-1-267B</t>
  </si>
  <si>
    <t>GL6957.JPG</t>
  </si>
  <si>
    <t>GL6960</t>
  </si>
  <si>
    <t>REPLACEMENT GLASS FOR N6960-1-267B</t>
  </si>
  <si>
    <t>GL6960.JPG</t>
  </si>
  <si>
    <t>N1115-046</t>
  </si>
  <si>
    <t>CASORIA - 8 LIGHT CHANDELIER</t>
  </si>
  <si>
    <t>CASORIA</t>
  </si>
  <si>
    <t>B10.5, Candelabra</t>
  </si>
  <si>
    <t>VINTAGE ENGLISH PATINA</t>
  </si>
  <si>
    <t>TRADITIONAL</t>
  </si>
  <si>
    <t>N1115-046.JPG</t>
  </si>
  <si>
    <t>NIII5</t>
  </si>
  <si>
    <t>Brass + Steel</t>
  </si>
  <si>
    <t>B10.5,CAND</t>
  </si>
  <si>
    <t>POLISHED NICKEL</t>
  </si>
  <si>
    <t>BRASS+STEEL</t>
  </si>
  <si>
    <t>N1117-046</t>
  </si>
  <si>
    <t>15 LIGHT CHANDELIER</t>
  </si>
  <si>
    <t>CASORIA - 15 LIGHT CHANDELIER</t>
  </si>
  <si>
    <t>N1117-046.JPG</t>
  </si>
  <si>
    <t>N1117</t>
  </si>
  <si>
    <t>N1117-613</t>
  </si>
  <si>
    <t>B10.5, CAND</t>
  </si>
  <si>
    <t>N1117-613.JPG</t>
  </si>
  <si>
    <t>2 LIGHT WALL SCONCE</t>
  </si>
  <si>
    <t>WALL SCONCES</t>
  </si>
  <si>
    <t>UP</t>
  </si>
  <si>
    <t>BRASS</t>
  </si>
  <si>
    <t>N1375-597</t>
  </si>
  <si>
    <t>5 LIGHT BATH</t>
  </si>
  <si>
    <t>ABBONDANZA - 5 LIGHT BATH</t>
  </si>
  <si>
    <t>ABBONDANZA</t>
  </si>
  <si>
    <t>BATH-BAR LITE</t>
  </si>
  <si>
    <t>B10.5 CAND</t>
  </si>
  <si>
    <t>HALCYON GOLD</t>
  </si>
  <si>
    <t>Contemporary</t>
  </si>
  <si>
    <t>N1375-597.JPG</t>
  </si>
  <si>
    <t>DAMP</t>
  </si>
  <si>
    <t>N1375</t>
  </si>
  <si>
    <t>STEEL</t>
  </si>
  <si>
    <t>N1461-652</t>
  </si>
  <si>
    <t>1 LIGHT BATH</t>
  </si>
  <si>
    <t>CHATEAU NOBLES - 1 LIGHT BATH</t>
  </si>
  <si>
    <t>CHATEAU NOBLES</t>
  </si>
  <si>
    <t>A-19,MED</t>
  </si>
  <si>
    <t>RAVEN BRONZE W/SUNBURST GOLD H</t>
  </si>
  <si>
    <t>Traditional</t>
  </si>
  <si>
    <t>DRIFTWOOD</t>
  </si>
  <si>
    <t>N1461-652.JPG</t>
  </si>
  <si>
    <t>N1461</t>
  </si>
  <si>
    <t>STEEL+POLY+CRYSTAL+GLASS</t>
  </si>
  <si>
    <t>N1462-652</t>
  </si>
  <si>
    <t>2 LIGHT BATH</t>
  </si>
  <si>
    <t>CHATEAU NOBLES - 2 LIGHT BATH</t>
  </si>
  <si>
    <t>N1462-652.JPG</t>
  </si>
  <si>
    <t>N1462</t>
  </si>
  <si>
    <t>N1463-652</t>
  </si>
  <si>
    <t>3 LIGHT BATH</t>
  </si>
  <si>
    <t>CHATEAU NOBLES - 3 LIGHT BATH</t>
  </si>
  <si>
    <t>N1463-652.JPG</t>
  </si>
  <si>
    <t>DOWN</t>
  </si>
  <si>
    <t>N1463</t>
  </si>
  <si>
    <t>N1464-652</t>
  </si>
  <si>
    <t>4 LIGHT BATH</t>
  </si>
  <si>
    <t>CHATEAU NOBLES - 4 LIGHT BATH</t>
  </si>
  <si>
    <t>N1464-652.JPG</t>
  </si>
  <si>
    <t>N1464</t>
  </si>
  <si>
    <t>N1475-293</t>
  </si>
  <si>
    <t>FIVE LIGHT BATH</t>
  </si>
  <si>
    <t>EDGEMONT PARK - 5 LIGHT BATH</t>
  </si>
  <si>
    <t>EDGEMONT PARK</t>
  </si>
  <si>
    <t>PANDORA GOLD LEAF</t>
  </si>
  <si>
    <t>TEXTURED GLASS</t>
  </si>
  <si>
    <t>N1475-293.JPG</t>
  </si>
  <si>
    <t>N1475</t>
  </si>
  <si>
    <t>STEEL+GLASS</t>
  </si>
  <si>
    <t>3 LIGHT WALL SCONCE</t>
  </si>
  <si>
    <t>WHITE IRIS</t>
  </si>
  <si>
    <t>N1731-613-L</t>
  </si>
  <si>
    <t>LED BATH</t>
  </si>
  <si>
    <t>STELLARIS - LED BATH</t>
  </si>
  <si>
    <t>STELLARIS</t>
  </si>
  <si>
    <t>LED</t>
  </si>
  <si>
    <t>CLEAR SEEDED CRYSTAL</t>
  </si>
  <si>
    <t>N1731-613-L.JPG</t>
  </si>
  <si>
    <t>N1731</t>
  </si>
  <si>
    <t>STEEL+ALUMINUM+GLASS</t>
  </si>
  <si>
    <t>N1732-613-L</t>
  </si>
  <si>
    <t>CLEAR SEEDY CRYSTAL</t>
  </si>
  <si>
    <t>N1732-613-L.JPG</t>
  </si>
  <si>
    <t>HORIZONTAL</t>
  </si>
  <si>
    <t>N1732</t>
  </si>
  <si>
    <t>N1741-613-L</t>
  </si>
  <si>
    <t>LAKE FROST - LED BATH</t>
  </si>
  <si>
    <t>LAKE FROST</t>
  </si>
  <si>
    <t>LAKE FROST GLASS PANELS</t>
  </si>
  <si>
    <t>N1741-613-L.JPG</t>
  </si>
  <si>
    <t>N1741</t>
  </si>
  <si>
    <t>STEEL+GLASS+ALUMINUM</t>
  </si>
  <si>
    <t>N1742-613-L</t>
  </si>
  <si>
    <t>N1742-613-L.JPG</t>
  </si>
  <si>
    <t>N1742</t>
  </si>
  <si>
    <t>N1743-613-L</t>
  </si>
  <si>
    <t>N1743-613-L.JPG</t>
  </si>
  <si>
    <t>N1743</t>
  </si>
  <si>
    <t>N1744-613-L</t>
  </si>
  <si>
    <t>LAKE FROST PANELS</t>
  </si>
  <si>
    <t>N1744-613-L.JPG</t>
  </si>
  <si>
    <t>N1744</t>
  </si>
  <si>
    <t>N1751-77</t>
  </si>
  <si>
    <t>CORONETTE - 1 LIGHT BATH</t>
  </si>
  <si>
    <t>CORONETTE</t>
  </si>
  <si>
    <t>CHROME</t>
  </si>
  <si>
    <t>K9 CRYSTAL</t>
  </si>
  <si>
    <t>CLEAR CRYSTAL</t>
  </si>
  <si>
    <t>SIZE: W36.5MMxH190MMxT22MM</t>
  </si>
  <si>
    <t>N1751-77.JPG</t>
  </si>
  <si>
    <t>N1751</t>
  </si>
  <si>
    <t>STEEL+CRYSTAL</t>
  </si>
  <si>
    <t>N1753-77</t>
  </si>
  <si>
    <t>CORONETTE - 3 LIGHT BATH</t>
  </si>
  <si>
    <t>CLEAR</t>
  </si>
  <si>
    <t>SIZE: W36.5xH190MMxT22MM</t>
  </si>
  <si>
    <t>N1753-77.JPG</t>
  </si>
  <si>
    <t>N1753</t>
  </si>
  <si>
    <t>CRYSTAL+STEEL</t>
  </si>
  <si>
    <t>N1754-77</t>
  </si>
  <si>
    <t>CORONETTE - 4 LIGHT BATH</t>
  </si>
  <si>
    <t>N1754-77.JPG</t>
  </si>
  <si>
    <t>N1754</t>
  </si>
  <si>
    <t>N1756-77</t>
  </si>
  <si>
    <t>6 LIGHT BATH</t>
  </si>
  <si>
    <t>CORONETTE - 6 LIGHT BATH</t>
  </si>
  <si>
    <t>N1756-77.JPG</t>
  </si>
  <si>
    <t>N1756</t>
  </si>
  <si>
    <t>N200401</t>
  </si>
  <si>
    <t>1 LIGHT WALL SCONCE</t>
  </si>
  <si>
    <t>MEDIUM</t>
  </si>
  <si>
    <t>White Alabaster</t>
  </si>
  <si>
    <t>N200401.JPG</t>
  </si>
  <si>
    <t>Metal + Glass</t>
  </si>
  <si>
    <t>N202102</t>
  </si>
  <si>
    <t>VINTAGE - 2 LIGHT WALL SCONCE</t>
  </si>
  <si>
    <t>OXIDE BRASS</t>
  </si>
  <si>
    <t>N202102.JPG</t>
  </si>
  <si>
    <t>Metal</t>
  </si>
  <si>
    <t>N202501-AN</t>
  </si>
  <si>
    <t>Medium</t>
  </si>
  <si>
    <t>ANTIQUE BRONZE</t>
  </si>
  <si>
    <t>Brandy Alabaster</t>
  </si>
  <si>
    <t>N202501-AN.JPG</t>
  </si>
  <si>
    <t>N202501</t>
  </si>
  <si>
    <t>N2031</t>
  </si>
  <si>
    <t>A19 MED</t>
  </si>
  <si>
    <t>N2031.JPG</t>
  </si>
  <si>
    <t>STEEL/ALABASTER</t>
  </si>
  <si>
    <t>N2034</t>
  </si>
  <si>
    <t>N2034.JPG</t>
  </si>
  <si>
    <t>N2100-20</t>
  </si>
  <si>
    <t>MONTPARNASSE - 2 LIGHT WALL SCONCE</t>
  </si>
  <si>
    <t>MONTPARNASSE</t>
  </si>
  <si>
    <t>FRENCH BLACK W/ GOLD LEAF HIGHLIGHTS</t>
  </si>
  <si>
    <t>N2100-20.JPG</t>
  </si>
  <si>
    <t>N2100</t>
  </si>
  <si>
    <t>N2195-L</t>
  </si>
  <si>
    <t>5 LIGHT WALL SCONCE</t>
  </si>
  <si>
    <t>B</t>
  </si>
  <si>
    <t>N2195-L.JPG</t>
  </si>
  <si>
    <t>N2195-R</t>
  </si>
  <si>
    <t>N2195-R.JPG</t>
  </si>
  <si>
    <t>N2231-355</t>
  </si>
  <si>
    <t>ZARAGOZA - 3 LIGHT WALL SCONCE</t>
  </si>
  <si>
    <t>ZARAGOZA</t>
  </si>
  <si>
    <t>GOLDEN BRONZE</t>
  </si>
  <si>
    <t>N2231-355.JPG</t>
  </si>
  <si>
    <t>N2231</t>
  </si>
  <si>
    <t>STEEL + CLOTH</t>
  </si>
  <si>
    <t>N2232-355</t>
  </si>
  <si>
    <t>ZARAGOZA - 2 LIGHT BATH</t>
  </si>
  <si>
    <t>A-19, MED</t>
  </si>
  <si>
    <t>SALON SCAVO</t>
  </si>
  <si>
    <t>N2232-355.JPG</t>
  </si>
  <si>
    <t>REVERSIBLE</t>
  </si>
  <si>
    <t>N2232</t>
  </si>
  <si>
    <t>STEEL + GLASS</t>
  </si>
  <si>
    <t>N2233-355</t>
  </si>
  <si>
    <t>ZARAGOZA - 3 LIGHT BATH</t>
  </si>
  <si>
    <t>N2233-355.JPG</t>
  </si>
  <si>
    <t>N2233</t>
  </si>
  <si>
    <t>STEEL/GLASS</t>
  </si>
  <si>
    <t>N2234-355</t>
  </si>
  <si>
    <t>ZARAGOZA - 4 LIGHT BATH</t>
  </si>
  <si>
    <t>N2234-355.JPG</t>
  </si>
  <si>
    <t>N2234</t>
  </si>
  <si>
    <t>N2235-355</t>
  </si>
  <si>
    <t>ZARAGOZA - 1 LIGHT WALL SCONCE</t>
  </si>
  <si>
    <t>Salon Scavo</t>
  </si>
  <si>
    <t>N2235-355.JPG</t>
  </si>
  <si>
    <t>N2235</t>
  </si>
  <si>
    <t>Steel + Glass + Poly</t>
  </si>
  <si>
    <t>N2236-355</t>
  </si>
  <si>
    <t>1 LIGHT WALL TORCHIERE</t>
  </si>
  <si>
    <t>ZARAGOZA - 1 LIGHT WALL TORCHIERE</t>
  </si>
  <si>
    <t>N2236-355.JPG</t>
  </si>
  <si>
    <t>N2236</t>
  </si>
  <si>
    <t>N2247</t>
  </si>
  <si>
    <t>N2247.JPG</t>
  </si>
  <si>
    <t>Steel</t>
  </si>
  <si>
    <t>N2273-578</t>
  </si>
  <si>
    <t>SHIMMERING FALLS - 3 LIGHT WALL SCONCE</t>
  </si>
  <si>
    <t>SHIMMERING FALLS</t>
  </si>
  <si>
    <t>B10.5 Candelabra</t>
  </si>
  <si>
    <t>ANTIQUE SILVER</t>
  </si>
  <si>
    <t>N2273-578.JPG</t>
  </si>
  <si>
    <t>N2273</t>
  </si>
  <si>
    <t>N2334</t>
  </si>
  <si>
    <t>9 LIGHT FOYER PENDANT</t>
  </si>
  <si>
    <t>PENDANTS/SUSPENSION</t>
  </si>
  <si>
    <t>FRENCH GOLD</t>
  </si>
  <si>
    <t>Clear</t>
  </si>
  <si>
    <t>N2334.JPG</t>
  </si>
  <si>
    <t>Steel + Glass</t>
  </si>
  <si>
    <t>N2335-OXB</t>
  </si>
  <si>
    <t>9 LIGHT PENDANT</t>
  </si>
  <si>
    <t>N2335-OXB.JPG</t>
  </si>
  <si>
    <t>N2335</t>
  </si>
  <si>
    <t>N2336-OXB</t>
  </si>
  <si>
    <t>3 LIGHT PENDANT</t>
  </si>
  <si>
    <t>3 LIGHT FOYER PENDANT</t>
  </si>
  <si>
    <t>CAND</t>
  </si>
  <si>
    <t>N2336-OXB.JPG</t>
  </si>
  <si>
    <t>N2336</t>
  </si>
  <si>
    <t>N2337-OXB</t>
  </si>
  <si>
    <t>N2337-OXB.JPG</t>
  </si>
  <si>
    <t>N2337</t>
  </si>
  <si>
    <t>N2338-OXB</t>
  </si>
  <si>
    <t>6 LIGHT PENDANT</t>
  </si>
  <si>
    <t>6 LIGHT FOYER PENDANT</t>
  </si>
  <si>
    <t>N2338-OXB.JPG</t>
  </si>
  <si>
    <t>N2338</t>
  </si>
  <si>
    <t>N2339-OXB</t>
  </si>
  <si>
    <t>N2339-OXB.JPG</t>
  </si>
  <si>
    <t>N2339</t>
  </si>
  <si>
    <t>N2342</t>
  </si>
  <si>
    <t>N2342.JPG</t>
  </si>
  <si>
    <t>N2343</t>
  </si>
  <si>
    <t>12 LIGHT PENDANT</t>
  </si>
  <si>
    <t>12 LIGHT FOYER PENDANT</t>
  </si>
  <si>
    <t>N2343.JPG</t>
  </si>
  <si>
    <t>N2345</t>
  </si>
  <si>
    <t>CLEAR BEVELED EDGE</t>
  </si>
  <si>
    <t>N2345.JPG</t>
  </si>
  <si>
    <t>Steel &amp; Glass</t>
  </si>
  <si>
    <t>N2414</t>
  </si>
  <si>
    <t>N2414.JPG</t>
  </si>
  <si>
    <t>N2415</t>
  </si>
  <si>
    <t>CANDELABRA</t>
  </si>
  <si>
    <t>N2415.JPG</t>
  </si>
  <si>
    <t>N2491-26</t>
  </si>
  <si>
    <t>A21 MED</t>
  </si>
  <si>
    <t>AGED BRONZE</t>
  </si>
  <si>
    <t>N2491-26.JPG</t>
  </si>
  <si>
    <t>N2491</t>
  </si>
  <si>
    <t>BRASS/STEEL/GLASS</t>
  </si>
  <si>
    <t>N2582-272</t>
  </si>
  <si>
    <t>VEL CATENA - 2 LIGHT WALL SCONCE</t>
  </si>
  <si>
    <t>VEL CATENA</t>
  </si>
  <si>
    <t>ARCADIAN GOLD</t>
  </si>
  <si>
    <t>N2582-272.JPG</t>
  </si>
  <si>
    <t>N2582</t>
  </si>
  <si>
    <t>Steel + Crystal</t>
  </si>
  <si>
    <t>N2584-272</t>
  </si>
  <si>
    <t>VEL CATENA - 4 LIGHT BATH</t>
  </si>
  <si>
    <t>N2584-272.JPG</t>
  </si>
  <si>
    <t>N2584</t>
  </si>
  <si>
    <t>N2586-272</t>
  </si>
  <si>
    <t>VEL CATENA - 6 LIGHT BATH</t>
  </si>
  <si>
    <t>N2586-272.JPG</t>
  </si>
  <si>
    <t>N2586</t>
  </si>
  <si>
    <t>N2588-272</t>
  </si>
  <si>
    <t>8 LIGHT BATH</t>
  </si>
  <si>
    <t>VEL CATENA - 8 LIGHT BATH</t>
  </si>
  <si>
    <t>N2588-272.JPG</t>
  </si>
  <si>
    <t>N2588</t>
  </si>
  <si>
    <t>STEEL + CRYSTAL</t>
  </si>
  <si>
    <t>N2641-613</t>
  </si>
  <si>
    <t>CONTINENTAL CLASSICS - 1 LIGHT WALL SCONCE</t>
  </si>
  <si>
    <t>CONTINENTAL CLASSICS</t>
  </si>
  <si>
    <t>CLOTH</t>
  </si>
  <si>
    <t>WHITE</t>
  </si>
  <si>
    <t>N2641-613.JPG</t>
  </si>
  <si>
    <t>N2641</t>
  </si>
  <si>
    <t>BRASS+STEEL+FABRIC</t>
  </si>
  <si>
    <t>N2642-613</t>
  </si>
  <si>
    <t>CONTINENTAL CLASSICS - 2 LIGHT WALL SCONCE</t>
  </si>
  <si>
    <t>N2642-613.JPG</t>
  </si>
  <si>
    <t>N2642</t>
  </si>
  <si>
    <t>N2651-613</t>
  </si>
  <si>
    <t>FUSANO - 1 LIGHT WALL SCONCE</t>
  </si>
  <si>
    <t>FUSANO</t>
  </si>
  <si>
    <t>CONTEMPORARY</t>
  </si>
  <si>
    <t>N2651-613.JPG</t>
  </si>
  <si>
    <t>N2651</t>
  </si>
  <si>
    <t>BRASS+STEEL+CRYSTAL</t>
  </si>
  <si>
    <t>N2661-613</t>
  </si>
  <si>
    <t>AISE - 2 LIGHT WALL SCONCE</t>
  </si>
  <si>
    <t>AISE</t>
  </si>
  <si>
    <t>N2661-613.JPG</t>
  </si>
  <si>
    <t>N2661</t>
  </si>
  <si>
    <t>N2670-274</t>
  </si>
  <si>
    <t>BEL MONDO - 3 LIGHT WALL SCONCE</t>
  </si>
  <si>
    <t>BEL MONDO</t>
  </si>
  <si>
    <t>G9 Xenon Frosted</t>
  </si>
  <si>
    <t>LUXOR GOLD</t>
  </si>
  <si>
    <t>N2670-274.JPG</t>
  </si>
  <si>
    <t>N2670</t>
  </si>
  <si>
    <t>N2674-274</t>
  </si>
  <si>
    <t>BEL MONDO - 4 LIGHT BATH</t>
  </si>
  <si>
    <t>N2674-274.JPG</t>
  </si>
  <si>
    <t>N2674</t>
  </si>
  <si>
    <t>STEEL+FABRIC</t>
  </si>
  <si>
    <t>N2690-258B</t>
  </si>
  <si>
    <t>BELLA CRISTALLO - 2 LIGHT WALL SCONCE</t>
  </si>
  <si>
    <t>BELLA CRISTALLO</t>
  </si>
  <si>
    <t>B10.5, Cand</t>
  </si>
  <si>
    <t>FRENCH BRONZE W/ GOLD HIGHLIGHTS</t>
  </si>
  <si>
    <t>Fabric</t>
  </si>
  <si>
    <t>Pleated Champagne</t>
  </si>
  <si>
    <t>Eidolon Krystal</t>
  </si>
  <si>
    <t>N2690-258B.JPG</t>
  </si>
  <si>
    <t>Damp</t>
  </si>
  <si>
    <t>N2690</t>
  </si>
  <si>
    <t>Steel+Glass+Poly+Crystal+Fabric</t>
  </si>
  <si>
    <t>N2691-258B</t>
  </si>
  <si>
    <t>BELLA CRISTALLO - 1 LIGHT BATH</t>
  </si>
  <si>
    <t>A-19 MEDIUM</t>
  </si>
  <si>
    <t>CHAMPAGNE SCAVO</t>
  </si>
  <si>
    <t>EIDOLON CRYSTAL</t>
  </si>
  <si>
    <t>N2691-258B.JPG</t>
  </si>
  <si>
    <t>N2691</t>
  </si>
  <si>
    <t>Steel+Glass+Poly+Crystal</t>
  </si>
  <si>
    <t>N2692-258B</t>
  </si>
  <si>
    <t>BELLA CRISTALLO - 2 LIGHT BATH</t>
  </si>
  <si>
    <t>A-19, MEDIUM</t>
  </si>
  <si>
    <t>N2692-258B.JPG</t>
  </si>
  <si>
    <t>N2692</t>
  </si>
  <si>
    <t>N2693-258B</t>
  </si>
  <si>
    <t>BELLA CRISTALLO - 3 LIGHT BATH</t>
  </si>
  <si>
    <t>N2693-258B.JPG</t>
  </si>
  <si>
    <t>N2693</t>
  </si>
  <si>
    <t>STEEL+GLASS+POLY+CRYSTAL</t>
  </si>
  <si>
    <t>N2694-258B</t>
  </si>
  <si>
    <t>BELLA CRISTALLO - 4 LIGHT BATH</t>
  </si>
  <si>
    <t>A-19,MEDIUM</t>
  </si>
  <si>
    <t>N2694-258B.JPG</t>
  </si>
  <si>
    <t>N2694</t>
  </si>
  <si>
    <t>N2712-258B</t>
  </si>
  <si>
    <t>CORTONA - 2 LIGHT BATH</t>
  </si>
  <si>
    <t>CORTONA</t>
  </si>
  <si>
    <t>N2712-258B.JPG</t>
  </si>
  <si>
    <t>N2712</t>
  </si>
  <si>
    <t>N2713-258B</t>
  </si>
  <si>
    <t>CORTONA - 3 LIGHT BATH</t>
  </si>
  <si>
    <t>N2713-258B.JPG</t>
  </si>
  <si>
    <t>N2713</t>
  </si>
  <si>
    <t>N2714-258B</t>
  </si>
  <si>
    <t>CORTONA - 4 LIGHT BATH</t>
  </si>
  <si>
    <t>N2714-258B.JPG</t>
  </si>
  <si>
    <t>N2714</t>
  </si>
  <si>
    <t>N2721-258</t>
  </si>
  <si>
    <t>AJOURER - 1 LIGHT WALL SCONCE</t>
  </si>
  <si>
    <t>AJOURER</t>
  </si>
  <si>
    <t>B-13,MED</t>
  </si>
  <si>
    <t>FRENCH BRONZE</t>
  </si>
  <si>
    <t>N2721-258.JPG</t>
  </si>
  <si>
    <t>N2721</t>
  </si>
  <si>
    <t>STEEL+PLASTIC SHEET</t>
  </si>
  <si>
    <t>N2722-258</t>
  </si>
  <si>
    <t>AJOURER - 2 LIGHT BATH</t>
  </si>
  <si>
    <t>SCAVO</t>
  </si>
  <si>
    <t>N2722-258.JPG</t>
  </si>
  <si>
    <t>N2722</t>
  </si>
  <si>
    <t>N2723-258</t>
  </si>
  <si>
    <t>AJOURER - 3 LIGHT BATH</t>
  </si>
  <si>
    <t>N2723-258.JPG</t>
  </si>
  <si>
    <t>N2723</t>
  </si>
  <si>
    <t>N2724-258</t>
  </si>
  <si>
    <t>AJOURER - 4 LIGHT BATH</t>
  </si>
  <si>
    <t>N2724-258.JPG</t>
  </si>
  <si>
    <t>N2724</t>
  </si>
  <si>
    <t>N2725-258</t>
  </si>
  <si>
    <t>AJOURER - 2 LIGHT WALL SCONCE</t>
  </si>
  <si>
    <t>N2725-258.JPG</t>
  </si>
  <si>
    <t>VERTICAL</t>
  </si>
  <si>
    <t>N2725</t>
  </si>
  <si>
    <t>N2731-598</t>
  </si>
  <si>
    <t>SAYBROOK - 1 LIGHT BATH</t>
  </si>
  <si>
    <t>SAYBROOK</t>
  </si>
  <si>
    <t>G16.5, CAND</t>
  </si>
  <si>
    <t>CATALINA SILVER</t>
  </si>
  <si>
    <t>N2731-598.JPG</t>
  </si>
  <si>
    <t>N2731</t>
  </si>
  <si>
    <t>N2732-598</t>
  </si>
  <si>
    <t>SAYBROOK - 2 LIGHT BATH</t>
  </si>
  <si>
    <t>N2732-598.JPG</t>
  </si>
  <si>
    <t>N2732</t>
  </si>
  <si>
    <t>N2733-598</t>
  </si>
  <si>
    <t>SAYBROOK - 3 LIGHT BATH</t>
  </si>
  <si>
    <t>N2733-598.JPG</t>
  </si>
  <si>
    <t>N2733</t>
  </si>
  <si>
    <t>N2734-598</t>
  </si>
  <si>
    <t>SAYBROOK - 4 LIGHT BATH</t>
  </si>
  <si>
    <t>N2734-598.JPG</t>
  </si>
  <si>
    <t>N2734</t>
  </si>
  <si>
    <t>N2750-613</t>
  </si>
  <si>
    <t>MAGIQUE - 2 LIGHT WALL SCONCE</t>
  </si>
  <si>
    <t>MAGIQUE</t>
  </si>
  <si>
    <t>N2750-613.JPG</t>
  </si>
  <si>
    <t>N2750</t>
  </si>
  <si>
    <t>N2755-613</t>
  </si>
  <si>
    <t>MAGIQUE - 5 LIGHT BATH</t>
  </si>
  <si>
    <t>G16.5,CAND</t>
  </si>
  <si>
    <t>N2755-613.JPG</t>
  </si>
  <si>
    <t>N2755</t>
  </si>
  <si>
    <t>N2756-613</t>
  </si>
  <si>
    <t>MAGIQUE - 6 LIGHT BATH</t>
  </si>
  <si>
    <t>N2756-613.JPG</t>
  </si>
  <si>
    <t>N2821-613</t>
  </si>
  <si>
    <t>N2821-613.JPG</t>
  </si>
  <si>
    <t>N2821</t>
  </si>
  <si>
    <t>N2850-613</t>
  </si>
  <si>
    <t>CHADBOURNE - 1 LIGHT WALL SCONCE</t>
  </si>
  <si>
    <t>CHADBOURNE</t>
  </si>
  <si>
    <t>N2850-613.JPG</t>
  </si>
  <si>
    <t>N2850</t>
  </si>
  <si>
    <t>STEEL+CRYSTAL+FABRIC SHADE</t>
  </si>
  <si>
    <t>N2860-278</t>
  </si>
  <si>
    <t>BELLA FLORA - 3 LIGHT WALL SCONCE</t>
  </si>
  <si>
    <t>BELLA FLORA</t>
  </si>
  <si>
    <t>SILVER MIST</t>
  </si>
  <si>
    <t>N2860-278.JPG</t>
  </si>
  <si>
    <t>N2860</t>
  </si>
  <si>
    <t>N2921-1-77</t>
  </si>
  <si>
    <t>1-LIGHT WALL SCONCE</t>
  </si>
  <si>
    <t>STORYBOARD - 1 LIGHT WALL SCONCE</t>
  </si>
  <si>
    <t>STORYBOARD</t>
  </si>
  <si>
    <t>ETCHED OPAL</t>
  </si>
  <si>
    <t>N2921-1-77.JPG</t>
  </si>
  <si>
    <t>N2921</t>
  </si>
  <si>
    <t>LEICESTER</t>
  </si>
  <si>
    <t>A-19, Med</t>
  </si>
  <si>
    <t>AGED BRASS</t>
  </si>
  <si>
    <t>Etched Opal Glass</t>
  </si>
  <si>
    <t>Brass+Metal+Glass</t>
  </si>
  <si>
    <t>N2942-575</t>
  </si>
  <si>
    <t>LEICESTER - 2 LIGHT BATH</t>
  </si>
  <si>
    <t>Etched opal Glass</t>
  </si>
  <si>
    <t>N2942-575.JPG</t>
  </si>
  <si>
    <t>N2942</t>
  </si>
  <si>
    <t>N2943-575</t>
  </si>
  <si>
    <t>LEICESTER - 3 LIGHT BATH</t>
  </si>
  <si>
    <t>N2943-575.JPG</t>
  </si>
  <si>
    <t>N2943</t>
  </si>
  <si>
    <t>N2955-1-267B</t>
  </si>
  <si>
    <t>5-LIGHT BATH</t>
  </si>
  <si>
    <t>UNDERSCORE - 5 LIGHT BATH</t>
  </si>
  <si>
    <t>UNDERSCORE</t>
  </si>
  <si>
    <t>CIMMARON BRONZE</t>
  </si>
  <si>
    <t>Transitional</t>
  </si>
  <si>
    <t>N2955-1-267B.JPG</t>
  </si>
  <si>
    <t>HORIZ/VERT</t>
  </si>
  <si>
    <t>N2955</t>
  </si>
  <si>
    <t>N2958-1-267B</t>
  </si>
  <si>
    <t>8-LIGHT BATH</t>
  </si>
  <si>
    <t>UNDERSCORE - 8 LIGHT BATH</t>
  </si>
  <si>
    <t>N2958-1-267B.JPG</t>
  </si>
  <si>
    <t>N2958</t>
  </si>
  <si>
    <t>N2981-613</t>
  </si>
  <si>
    <t>CASTLE AURORA - 1 LIGHT BATH</t>
  </si>
  <si>
    <t>CASTLE AURORA</t>
  </si>
  <si>
    <t>CLEAR CRYSTAL PANEL</t>
  </si>
  <si>
    <t>N2981-613.JPG</t>
  </si>
  <si>
    <t>N2981</t>
  </si>
  <si>
    <t>N2982-613</t>
  </si>
  <si>
    <t>CASTLE AURORA - 2 LIGHT BATH</t>
  </si>
  <si>
    <t>N2982-613.JPG</t>
  </si>
  <si>
    <t>N2982</t>
  </si>
  <si>
    <t>N2983-613</t>
  </si>
  <si>
    <t>CASTLE AURORA - 3 LIGHT BATH</t>
  </si>
  <si>
    <t>N2983-613.JPG</t>
  </si>
  <si>
    <t>N2983</t>
  </si>
  <si>
    <t>N2984-613</t>
  </si>
  <si>
    <t>CASTLE AURORA - 4 LIGHT BATH</t>
  </si>
  <si>
    <t>N2984-613.JPG</t>
  </si>
  <si>
    <t>N2984</t>
  </si>
  <si>
    <t>OUTDOOR LANTERN</t>
  </si>
  <si>
    <t>TERRAZA VILLAGE AGED PATINA W/ GOLD LEAF ACCENTS</t>
  </si>
  <si>
    <t>WET</t>
  </si>
  <si>
    <t>N3247-270</t>
  </si>
  <si>
    <t>3 LIGHT LANTERN</t>
  </si>
  <si>
    <t>3 LIGHT OUTDOOR LANTERN</t>
  </si>
  <si>
    <t>WATER PRINT 12.3/8"L*(5-1/4"+-9-5/8")W</t>
  </si>
  <si>
    <t>N3247-270.JPG</t>
  </si>
  <si>
    <t>N3247</t>
  </si>
  <si>
    <t>N3639-355</t>
  </si>
  <si>
    <t>8 LIGHT FOYER PENDANT</t>
  </si>
  <si>
    <t>ZARAGOZA - 8 LIGHT FOYER PENDANT</t>
  </si>
  <si>
    <t>CLEAR SEEDY</t>
  </si>
  <si>
    <t>N3639-355.JPG</t>
  </si>
  <si>
    <t>N3639</t>
  </si>
  <si>
    <t>N3642-355</t>
  </si>
  <si>
    <t>ZARAGOZA - 12 LIGHT FOYER PENDANT</t>
  </si>
  <si>
    <t>SEEDY</t>
  </si>
  <si>
    <t>N3642-355.JPG</t>
  </si>
  <si>
    <t>N3642</t>
  </si>
  <si>
    <t>N3644-362</t>
  </si>
  <si>
    <t>ARMANDARI</t>
  </si>
  <si>
    <t>N3644-362.JPG</t>
  </si>
  <si>
    <t>N3644</t>
  </si>
  <si>
    <t>N3705-BP</t>
  </si>
  <si>
    <t>5 LIGHT PENDANT</t>
  </si>
  <si>
    <t>VIRTUOSO II - 5 LIGHT PENDANT</t>
  </si>
  <si>
    <t>VIRTUOSO II</t>
  </si>
  <si>
    <t>BRONZE PATINA</t>
  </si>
  <si>
    <t>Alabaster Dust</t>
  </si>
  <si>
    <t>N3705-BP.JPG</t>
  </si>
  <si>
    <t>N3705</t>
  </si>
  <si>
    <t>N3705-PW</t>
  </si>
  <si>
    <t>PEWTER (PLATED)</t>
  </si>
  <si>
    <t>N3705-PW.JPG</t>
  </si>
  <si>
    <t>N3706-BP</t>
  </si>
  <si>
    <t>VIRTUOSO II - 6 LIGHT PENDANT</t>
  </si>
  <si>
    <t>N3706-BP.JPG</t>
  </si>
  <si>
    <t>N3706</t>
  </si>
  <si>
    <t>N3706-PW</t>
  </si>
  <si>
    <t>N3706-PW.JPG</t>
  </si>
  <si>
    <t>N3708-BP</t>
  </si>
  <si>
    <t>8 LIGHT PENDANT</t>
  </si>
  <si>
    <t>VIRTUOSO II - 8 LIGHT PENDANT</t>
  </si>
  <si>
    <t>N3708-BP.JPG</t>
  </si>
  <si>
    <t>N3708</t>
  </si>
  <si>
    <t>N3708-PW</t>
  </si>
  <si>
    <t>N3708-PW.JPG</t>
  </si>
  <si>
    <t>N3712-BP</t>
  </si>
  <si>
    <t>VIRTUOSO II - 12 LIGHT PENDANT</t>
  </si>
  <si>
    <t>A19, MED</t>
  </si>
  <si>
    <t>POLYRESIN</t>
  </si>
  <si>
    <t>ALABASTER</t>
  </si>
  <si>
    <t>N3712-BP.JPG</t>
  </si>
  <si>
    <t>N3712</t>
  </si>
  <si>
    <t>STEEL+POLYRESIN</t>
  </si>
  <si>
    <t>N3712-PW</t>
  </si>
  <si>
    <t>N3712-PW.JPG</t>
  </si>
  <si>
    <t>N3713-BP</t>
  </si>
  <si>
    <t>3 LIGHT SEMI FLUSH MOUNT</t>
  </si>
  <si>
    <t>VIRTUOSO II - 3 LIGHT SEMI FLUSH</t>
  </si>
  <si>
    <t>SEMI-FLUSH MOUNTS</t>
  </si>
  <si>
    <t>N3713-BP.JPG</t>
  </si>
  <si>
    <t>N3713</t>
  </si>
  <si>
    <t>N3713-PW</t>
  </si>
  <si>
    <t>N3713-PW.JPG</t>
  </si>
  <si>
    <t>N3715-BP</t>
  </si>
  <si>
    <t>5 LIGHT SEMI FLUSH MOUNT</t>
  </si>
  <si>
    <t>VIRTUOSO II - 5 LIGHT SEMI FLUSH</t>
  </si>
  <si>
    <t>N3715-BP.JPG</t>
  </si>
  <si>
    <t>N3715</t>
  </si>
  <si>
    <t>N3715-PW</t>
  </si>
  <si>
    <t>N3715-PW.JPG</t>
  </si>
  <si>
    <t>N3906</t>
  </si>
  <si>
    <t>N3906.JPG</t>
  </si>
  <si>
    <t>BRASS/GLASS</t>
  </si>
  <si>
    <t>N3920</t>
  </si>
  <si>
    <t>Clear Glass</t>
  </si>
  <si>
    <t>N3920.JPG</t>
  </si>
  <si>
    <t>CEILING MEDALLION</t>
  </si>
  <si>
    <t>SANGUESA</t>
  </si>
  <si>
    <t>ACCESSORIES, COMPONENTS</t>
  </si>
  <si>
    <t>SANGUESA PATINA</t>
  </si>
  <si>
    <t>N5231-355</t>
  </si>
  <si>
    <t>ZARAGOZA - CEILING MEDALLION</t>
  </si>
  <si>
    <t>N5231-355.JPG</t>
  </si>
  <si>
    <t>N5231</t>
  </si>
  <si>
    <t>PU+STEEL</t>
  </si>
  <si>
    <t>SALAMANCA</t>
  </si>
  <si>
    <t>CATTERA BRONZE</t>
  </si>
  <si>
    <t>N561A-BZ</t>
  </si>
  <si>
    <t>6 LIGHT CHANDELIER</t>
  </si>
  <si>
    <t>PATINA BRONZE</t>
  </si>
  <si>
    <t>N561A-BZ.JPG</t>
  </si>
  <si>
    <t>N561A</t>
  </si>
  <si>
    <t>1 LIGHT MINI PENDANT</t>
  </si>
  <si>
    <t>MONTE TITANO</t>
  </si>
  <si>
    <t>MONTE TITANO ORO</t>
  </si>
  <si>
    <t>N6047-159</t>
  </si>
  <si>
    <t>MONTE TITANO - 2 LIGHT WALL SCONCE-HEARST CASTLE COLLECTION</t>
  </si>
  <si>
    <t>BUTTERSCOTCH SWIRL PIASTRA</t>
  </si>
  <si>
    <t>N6047-159.JPG</t>
  </si>
  <si>
    <t>N6047</t>
  </si>
  <si>
    <t>N6069-194</t>
  </si>
  <si>
    <t>22 LIGHT CHANDELIER</t>
  </si>
  <si>
    <t>SANGUESA - 22 LIGHT CHANDELIER</t>
  </si>
  <si>
    <t>N6069-194.JPG</t>
  </si>
  <si>
    <t>N6069</t>
  </si>
  <si>
    <t>STEEL/GLASS/POLY</t>
  </si>
  <si>
    <t>N6070-194</t>
  </si>
  <si>
    <t>SANGUESA - 3 LIGHT SEMI FLUSH</t>
  </si>
  <si>
    <t>VIDRIO ARTISTICO</t>
  </si>
  <si>
    <t>N6070-194.JPG</t>
  </si>
  <si>
    <t>N6070</t>
  </si>
  <si>
    <t>N6071-194</t>
  </si>
  <si>
    <t>SANGUESA - 1 LIGHT BATH</t>
  </si>
  <si>
    <t>N6071-194.JPG</t>
  </si>
  <si>
    <t>N6071</t>
  </si>
  <si>
    <t>STEEL/POLY/GLASS</t>
  </si>
  <si>
    <t>N6072-194</t>
  </si>
  <si>
    <t>SANGUESA - 2 LIGHT BATH</t>
  </si>
  <si>
    <t>Vidrio Artistico</t>
  </si>
  <si>
    <t>N6072-194.JPG</t>
  </si>
  <si>
    <t>N6072</t>
  </si>
  <si>
    <t>N6073-194</t>
  </si>
  <si>
    <t>SANGUESA - 3 LIGHT BATH</t>
  </si>
  <si>
    <t>N6073-194.JPG</t>
  </si>
  <si>
    <t>N6073</t>
  </si>
  <si>
    <t>N6074-194</t>
  </si>
  <si>
    <t>SANGUESA - 4 LIGHT BATH</t>
  </si>
  <si>
    <t>N6074-194.JPG</t>
  </si>
  <si>
    <t>N6074</t>
  </si>
  <si>
    <t>N6075-194</t>
  </si>
  <si>
    <t>SANGUESA - 1 LIGHT WALL SCONCE</t>
  </si>
  <si>
    <t>N6075-194.JPG</t>
  </si>
  <si>
    <t>N6075</t>
  </si>
  <si>
    <t>N6076-194</t>
  </si>
  <si>
    <t>SANGUESA - 8 LIGHT CHANDELIER</t>
  </si>
  <si>
    <t>N6076-194.JPG</t>
  </si>
  <si>
    <t>N6076</t>
  </si>
  <si>
    <t>SANGUESA - 3 LIGHT PENDANT</t>
  </si>
  <si>
    <t>N6078-194</t>
  </si>
  <si>
    <t>10 LIGHT CHANDELIER</t>
  </si>
  <si>
    <t>SANGUESA - 10 LIGHT CHANDELIER</t>
  </si>
  <si>
    <t>N6078-194.JPG</t>
  </si>
  <si>
    <t>N6078</t>
  </si>
  <si>
    <t>N6079-194</t>
  </si>
  <si>
    <t>14 LIGHT CHANDELIER</t>
  </si>
  <si>
    <t>SANGUESA - 14 LIGHT CHANDELIER</t>
  </si>
  <si>
    <t>N6079-194.JPG</t>
  </si>
  <si>
    <t>N6079</t>
  </si>
  <si>
    <t>N6080-194</t>
  </si>
  <si>
    <t>2 LIGHT FLUSH MOUNT</t>
  </si>
  <si>
    <t>SANGUESA - 2 LIGHT FLUSH MOUNT</t>
  </si>
  <si>
    <t>FLUSH MOUNTS</t>
  </si>
  <si>
    <t>N6080-194.JPG</t>
  </si>
  <si>
    <t>N6080</t>
  </si>
  <si>
    <t>STEEL / GLASS / POLY</t>
  </si>
  <si>
    <t>N6081-194</t>
  </si>
  <si>
    <t>SANGUESA - 2 LIGHT WALL SCONCE</t>
  </si>
  <si>
    <t>N6081-194.JPG</t>
  </si>
  <si>
    <t>N6081</t>
  </si>
  <si>
    <t>N6082-194</t>
  </si>
  <si>
    <t>N6082-194.JPG</t>
  </si>
  <si>
    <t>N6082</t>
  </si>
  <si>
    <t>N6083-194</t>
  </si>
  <si>
    <t>N6083-194.JPG</t>
  </si>
  <si>
    <t>N6083</t>
  </si>
  <si>
    <t>N6103-20</t>
  </si>
  <si>
    <t>MONTPARNASSE - 1 LIGHT MINI PENDANT</t>
  </si>
  <si>
    <t>N6103-20.JPG</t>
  </si>
  <si>
    <t>N6103</t>
  </si>
  <si>
    <t>N6105-20</t>
  </si>
  <si>
    <t>MONTPARNASSE - 3 LIGHT PENDANT</t>
  </si>
  <si>
    <t>N6105-20.JPG</t>
  </si>
  <si>
    <t>N6105</t>
  </si>
  <si>
    <t>N6107-20</t>
  </si>
  <si>
    <t>12 LIGHT ISLAND LIGHT</t>
  </si>
  <si>
    <t>MONTPARNASSE - 12 LIGHT ISLAND</t>
  </si>
  <si>
    <t>ISLAND LITES</t>
  </si>
  <si>
    <t>DOUBLE FRENCH SCAVO</t>
  </si>
  <si>
    <t>N6107-20.JPG</t>
  </si>
  <si>
    <t>N6107</t>
  </si>
  <si>
    <t>N6108-20</t>
  </si>
  <si>
    <t>9 LIGHT CHANDELIER</t>
  </si>
  <si>
    <t>MONTPARNASSE - 9 LIGHT CHANDELIER</t>
  </si>
  <si>
    <t>A-21, MED</t>
  </si>
  <si>
    <t>N6108-20.JPG</t>
  </si>
  <si>
    <t>N6108</t>
  </si>
  <si>
    <t>N6109-20</t>
  </si>
  <si>
    <t>MONTPARNASSE - 2 LIGHT FLUSH MOUNT</t>
  </si>
  <si>
    <t>N6109-20.JPG</t>
  </si>
  <si>
    <t>N6109</t>
  </si>
  <si>
    <t>STEEL/GLASS/BRASS</t>
  </si>
  <si>
    <t>N6111-20</t>
  </si>
  <si>
    <t>N6111-20.JPG</t>
  </si>
  <si>
    <t>N6111</t>
  </si>
  <si>
    <t>16 LIGHT CHANDELIER</t>
  </si>
  <si>
    <t>N6220-363</t>
  </si>
  <si>
    <t>PADOVA</t>
  </si>
  <si>
    <t>N6220-363.JPG</t>
  </si>
  <si>
    <t>N6220</t>
  </si>
  <si>
    <t>N6228-228</t>
  </si>
  <si>
    <t>24 LIGHT CHANDELIER</t>
  </si>
  <si>
    <t>WINDSOR RUST W/ BRONZE ACCENTS</t>
  </si>
  <si>
    <t>N6228-228.JPG</t>
  </si>
  <si>
    <t>N6228</t>
  </si>
  <si>
    <t>N6229-363</t>
  </si>
  <si>
    <t>N6229-363.JPG</t>
  </si>
  <si>
    <t>N6229</t>
  </si>
  <si>
    <t>N6232-355</t>
  </si>
  <si>
    <t>ZARAGOZA - 3 LIGHT PENDANT</t>
  </si>
  <si>
    <t>N6232-355.JPG</t>
  </si>
  <si>
    <t>N6232</t>
  </si>
  <si>
    <t>N6234-355</t>
  </si>
  <si>
    <t>6 LIGHT ISLAND LIGHT</t>
  </si>
  <si>
    <t>ZARAGOZA - 6 LIGHT ISLAND</t>
  </si>
  <si>
    <t>N6234-355.JPG</t>
  </si>
  <si>
    <t>N6234</t>
  </si>
  <si>
    <t>STEEL/CLOTH/POLY</t>
  </si>
  <si>
    <t>N6235-355</t>
  </si>
  <si>
    <t>ZARAGOZA - 6 LIGHT CHANDELIER</t>
  </si>
  <si>
    <t>N6235-355.JPG</t>
  </si>
  <si>
    <t>N6235</t>
  </si>
  <si>
    <t>N6238-355</t>
  </si>
  <si>
    <t>ZARAGOZA - 8 LIGHT CHANDELIER</t>
  </si>
  <si>
    <t>N6238-355.JPG</t>
  </si>
  <si>
    <t>N6238</t>
  </si>
  <si>
    <t>N6239-355</t>
  </si>
  <si>
    <t>ZARAGOZA - 12 LIGHT CHANDELIER</t>
  </si>
  <si>
    <t>N6239-355.JPG</t>
  </si>
  <si>
    <t>N6239</t>
  </si>
  <si>
    <t>N6240-355</t>
  </si>
  <si>
    <t>ZARAGOZA - 1 LIGHT MINI PENDANT</t>
  </si>
  <si>
    <t>N6240-355.JPG</t>
  </si>
  <si>
    <t>N6240</t>
  </si>
  <si>
    <t>N6241-355</t>
  </si>
  <si>
    <t>ZARAGOZA - 3 LIGHT SEMI FLUSH</t>
  </si>
  <si>
    <t>A-15, MED</t>
  </si>
  <si>
    <t>N6241-355.JPG</t>
  </si>
  <si>
    <t>N6241</t>
  </si>
  <si>
    <t>N6242-355</t>
  </si>
  <si>
    <t>5 LIGHT BOWL PENDANT</t>
  </si>
  <si>
    <t>ZARAGOZA - 5 LIGHT PENDANT</t>
  </si>
  <si>
    <t>N6242-355.JPG</t>
  </si>
  <si>
    <t>N6242</t>
  </si>
  <si>
    <t>N6243-355</t>
  </si>
  <si>
    <t>N6243-355.JPG</t>
  </si>
  <si>
    <t>N6243</t>
  </si>
  <si>
    <t>N6245-355</t>
  </si>
  <si>
    <t>20 LIGHT CHANDELIER</t>
  </si>
  <si>
    <t>ZARAGOZA - 20 LIGHT CHANDELIER</t>
  </si>
  <si>
    <t>N6245-355.JPG</t>
  </si>
  <si>
    <t>N6245</t>
  </si>
  <si>
    <t>N6260-613</t>
  </si>
  <si>
    <t>EDEN ROE - 2 LIGHT WALL SCONCE</t>
  </si>
  <si>
    <t>EDEN ROE</t>
  </si>
  <si>
    <t>T4 (E11) Mini Candl</t>
  </si>
  <si>
    <t>Mitered White Glass</t>
  </si>
  <si>
    <t>N6260-613.JPG</t>
  </si>
  <si>
    <t>N6260</t>
  </si>
  <si>
    <t>Steel + Glass + Crystal</t>
  </si>
  <si>
    <t>4 LIGHT PENDANT</t>
  </si>
  <si>
    <t>N6265-613</t>
  </si>
  <si>
    <t>EDEN ROE - 4 LIGHT PENDANT</t>
  </si>
  <si>
    <t>T4(E11) Mini Cand</t>
  </si>
  <si>
    <t>N6265-613.JPG</t>
  </si>
  <si>
    <t>N6265</t>
  </si>
  <si>
    <t>N6266-613</t>
  </si>
  <si>
    <t>EDEN ROE - 6 LIGHT ISLAND</t>
  </si>
  <si>
    <t>N6266-613.JPG</t>
  </si>
  <si>
    <t>N6266</t>
  </si>
  <si>
    <t>N6267-613</t>
  </si>
  <si>
    <t>EDEN ROE - 8 LIGHT CHANDELIER</t>
  </si>
  <si>
    <t>T4(E11) Mini Cad</t>
  </si>
  <si>
    <t>N6267-613.JPG</t>
  </si>
  <si>
    <t>N6267</t>
  </si>
  <si>
    <t>N6268-613</t>
  </si>
  <si>
    <t>N6268-613.JPG</t>
  </si>
  <si>
    <t>N6268</t>
  </si>
  <si>
    <t>N6284-613</t>
  </si>
  <si>
    <t>4 LIGHT WALL SCONCE</t>
  </si>
  <si>
    <t>CRYSALYN FALLS - 4 LIGHT WALL SCONCE</t>
  </si>
  <si>
    <t>CRYSALYN FALLS</t>
  </si>
  <si>
    <t>N6284-613.JPG</t>
  </si>
  <si>
    <t>N6284</t>
  </si>
  <si>
    <t>N6450-652</t>
  </si>
  <si>
    <t>3 LIGHT SEMI FLUSH</t>
  </si>
  <si>
    <t>CHATEAU NOBLES - 3 LIGHT SEMI FLUSH</t>
  </si>
  <si>
    <t>A-15,MED</t>
  </si>
  <si>
    <t>N6450-652.JPG</t>
  </si>
  <si>
    <t>N6450</t>
  </si>
  <si>
    <t>N6452-652</t>
  </si>
  <si>
    <t>CHATEAU NOBLES - 2 LIGHT WALL SCONCE</t>
  </si>
  <si>
    <t>N6452-652.JPG</t>
  </si>
  <si>
    <t>N6452</t>
  </si>
  <si>
    <t>STEEL+POLY+CRYSTAL</t>
  </si>
  <si>
    <t>N6453-652</t>
  </si>
  <si>
    <t>CHATEAU NOBLES - 3 LIGHT WALL SCONCE</t>
  </si>
  <si>
    <t>N6453-652.JPG</t>
  </si>
  <si>
    <t>N6453</t>
  </si>
  <si>
    <t>N6454-652</t>
  </si>
  <si>
    <t>4 LIGHT MINI CHANDELIER</t>
  </si>
  <si>
    <t>CHATEAU NOBLES - 4 LIGHT MINI CHANDELIER</t>
  </si>
  <si>
    <t>N6454-652.JPG</t>
  </si>
  <si>
    <t>N6454</t>
  </si>
  <si>
    <t>N6456-652</t>
  </si>
  <si>
    <t>CHATEAU NOBLES - 6 LIGHT CHANDELIER</t>
  </si>
  <si>
    <t>N6456-652.JPG</t>
  </si>
  <si>
    <t>N6456</t>
  </si>
  <si>
    <t>N6457-652</t>
  </si>
  <si>
    <t>6 LIGHT ISLAND</t>
  </si>
  <si>
    <t>CHATEAU NOBLES - 6 LIGHT ISLAND</t>
  </si>
  <si>
    <t>N6457-652.JPG</t>
  </si>
  <si>
    <t>N6458</t>
  </si>
  <si>
    <t>N6458-652</t>
  </si>
  <si>
    <t>CHATEAU NOBLES - 15 LIGHT CHANDELIER</t>
  </si>
  <si>
    <t>N6458-652.JPG</t>
  </si>
  <si>
    <t>N6459-652</t>
  </si>
  <si>
    <t>CHATEAU NOBLES - 10 LIGHT CHANDELIER</t>
  </si>
  <si>
    <t>CLEAR GLASS CAP</t>
  </si>
  <si>
    <t>N6459-652.JPG</t>
  </si>
  <si>
    <t>N6459</t>
  </si>
  <si>
    <t>N6463-652</t>
  </si>
  <si>
    <t>CHATEAU NOBLES - 4 LIGHT PENDANT</t>
  </si>
  <si>
    <t>N6463-652.JPG</t>
  </si>
  <si>
    <t>N6463</t>
  </si>
  <si>
    <t>N6464-652</t>
  </si>
  <si>
    <t>N6464-652.JPG</t>
  </si>
  <si>
    <t>N6464</t>
  </si>
  <si>
    <t>N6465-652</t>
  </si>
  <si>
    <t>CHATEAU NOBLES - 6 LIGHT PENDANT</t>
  </si>
  <si>
    <t>10.5,CAND</t>
  </si>
  <si>
    <t>N6465-652.JPG</t>
  </si>
  <si>
    <t>N6465</t>
  </si>
  <si>
    <t>N6472-293</t>
  </si>
  <si>
    <t>EDGEMONT PARK - 2 LIGHT WALL SCONCE</t>
  </si>
  <si>
    <t>N6472-293.JPG</t>
  </si>
  <si>
    <t>N6472</t>
  </si>
  <si>
    <t>N6473-293</t>
  </si>
  <si>
    <t>FOUR LIGHT MINI PENDANT</t>
  </si>
  <si>
    <t>EDGEMONT PARK - 4 LIGHT MINI PENDANT</t>
  </si>
  <si>
    <t>N6473-293.JPG</t>
  </si>
  <si>
    <t>N6473</t>
  </si>
  <si>
    <t>N6474-293</t>
  </si>
  <si>
    <t>PENDANT</t>
  </si>
  <si>
    <t>EDGEMONT PARK - 4 LIGHT PENDANT</t>
  </si>
  <si>
    <t>N6474-293.JPG</t>
  </si>
  <si>
    <t>N6474</t>
  </si>
  <si>
    <t>N6475-293</t>
  </si>
  <si>
    <t>4 LIGHT SEMI FLUSH</t>
  </si>
  <si>
    <t>EDGEMONT PARK - 4 LIGHT SEMI FLUSH</t>
  </si>
  <si>
    <t>CLEAR WATER GLASS</t>
  </si>
  <si>
    <t>N6475-293.JPG</t>
  </si>
  <si>
    <t>N6475</t>
  </si>
  <si>
    <t>N6476-293</t>
  </si>
  <si>
    <t>EDGEMONT PARK - 6 LIGHT PENDANT</t>
  </si>
  <si>
    <t>N6476-293.JPG</t>
  </si>
  <si>
    <t>N6476</t>
  </si>
  <si>
    <t>N6478-293</t>
  </si>
  <si>
    <t>ISLAND LIGHT</t>
  </si>
  <si>
    <t>EDGEMONT PARK - 8 LIGHT ISLAND</t>
  </si>
  <si>
    <t>N6478-293.JPG</t>
  </si>
  <si>
    <t>N6478</t>
  </si>
  <si>
    <t>N6482-270</t>
  </si>
  <si>
    <t>2 LIGHT WALL TORCHIERE</t>
  </si>
  <si>
    <t>TERRAZA VILLA - 2 LIGHT WALL TORCHIERE</t>
  </si>
  <si>
    <t>TERRAZA VILLA</t>
  </si>
  <si>
    <t>SPUMANTE STRATO</t>
  </si>
  <si>
    <t>N6482-270.JPG</t>
  </si>
  <si>
    <t>N6482</t>
  </si>
  <si>
    <t>STEEL / GLASS / ALUM</t>
  </si>
  <si>
    <t>N6487-270</t>
  </si>
  <si>
    <t>21 LIGHT CHANDELIER</t>
  </si>
  <si>
    <t>TERRAZA VILLA - 21 LIGHT CHANDELIER</t>
  </si>
  <si>
    <t>Spumante Strato</t>
  </si>
  <si>
    <t>N6487-270.JPG</t>
  </si>
  <si>
    <t>N6487</t>
  </si>
  <si>
    <t>STEEL+GLASS+ALUM</t>
  </si>
  <si>
    <t>STEEL/GLASS/ALUM</t>
  </si>
  <si>
    <t>N6499-270</t>
  </si>
  <si>
    <t>13 LIGHT CHANDELIER</t>
  </si>
  <si>
    <t>TERRAZA VILLA - 13 LIGHT CHANDELIER</t>
  </si>
  <si>
    <t>N6499-270.JPG</t>
  </si>
  <si>
    <t>N6499</t>
  </si>
  <si>
    <t>B-13, MED</t>
  </si>
  <si>
    <t>PEN SHELL</t>
  </si>
  <si>
    <t>METAL+PEN SHELL+POLY</t>
  </si>
  <si>
    <t>STEEL METAL+PEN SHELL+POLY</t>
  </si>
  <si>
    <t>5 LIGHT CHANDELIER</t>
  </si>
  <si>
    <t>N6516-468</t>
  </si>
  <si>
    <t>SALAMANCA - 6 LIGHT CHANDELIER</t>
  </si>
  <si>
    <t>N6516-468.JPG</t>
  </si>
  <si>
    <t>N6516</t>
  </si>
  <si>
    <t>N6518-468</t>
  </si>
  <si>
    <t>SALAMANCA - 9 LIGHT CHANDELIER</t>
  </si>
  <si>
    <t>N6518-468.JPG</t>
  </si>
  <si>
    <t>N6518</t>
  </si>
  <si>
    <t>N6520-468</t>
  </si>
  <si>
    <t>6 LIGHT SEMI FLUSH MOUNT</t>
  </si>
  <si>
    <t>SALAMANCA - 6 LIGHT SEMI FLUSH</t>
  </si>
  <si>
    <t>N6520-468.JPG</t>
  </si>
  <si>
    <t>N6520</t>
  </si>
  <si>
    <t>METAL STEEL+SHELL+POLY</t>
  </si>
  <si>
    <t>N6523-468</t>
  </si>
  <si>
    <t>1 LIGHT PENDANT</t>
  </si>
  <si>
    <t>SALAMANCA - 1 LIGHT PENDANT</t>
  </si>
  <si>
    <t>N6523-468.JPG</t>
  </si>
  <si>
    <t>N6523</t>
  </si>
  <si>
    <t>N6561-596</t>
  </si>
  <si>
    <t>VICTORIA PARK - 2 LIGHT WALL SCONCE</t>
  </si>
  <si>
    <t>VICTORIA PARK</t>
  </si>
  <si>
    <t>ELARA GOLD</t>
  </si>
  <si>
    <t>CLEAR GLASS FLOWERS</t>
  </si>
  <si>
    <t>N6561-596.JPG</t>
  </si>
  <si>
    <t>N6561</t>
  </si>
  <si>
    <t>N6562-596</t>
  </si>
  <si>
    <t>VICTORIA PARK - 3 LIGHT PENDANT</t>
  </si>
  <si>
    <t>CLEAR W/ FROST INSIDE</t>
  </si>
  <si>
    <t>N6562-596.JPG</t>
  </si>
  <si>
    <t>N6562</t>
  </si>
  <si>
    <t>N6563-596</t>
  </si>
  <si>
    <t>WHITE IRIS GLASS SHADE</t>
  </si>
  <si>
    <t>N6563-596.JPG</t>
  </si>
  <si>
    <t>N6563</t>
  </si>
  <si>
    <t>N6564-596</t>
  </si>
  <si>
    <t>VICTORIA PARK - 4 LIGHT PENDANT</t>
  </si>
  <si>
    <t>CLEAR W/FROST INSIDE</t>
  </si>
  <si>
    <t>N6564-596.JPG</t>
  </si>
  <si>
    <t>N6564</t>
  </si>
  <si>
    <t>N6565-596</t>
  </si>
  <si>
    <t>VICTORIA PARK - 4 LIGHT SEMI FLUSH</t>
  </si>
  <si>
    <t>N6565-596.JPG</t>
  </si>
  <si>
    <t>N6565</t>
  </si>
  <si>
    <t>N6566-596</t>
  </si>
  <si>
    <t>VICTORIA PARK - 6 LIGHT CHANDELIER</t>
  </si>
  <si>
    <t>N6566-596.JPG</t>
  </si>
  <si>
    <t>N6568-596</t>
  </si>
  <si>
    <t>8 LIGHT ISLAND LIGHT</t>
  </si>
  <si>
    <t>VICTORIA PARK - 8 LIGHT ISLAND</t>
  </si>
  <si>
    <t>N6568-596.JPG</t>
  </si>
  <si>
    <t>N6583-272</t>
  </si>
  <si>
    <t>VEL CATENA - 4 LIGHT PENDANT</t>
  </si>
  <si>
    <t>GF442,CLEAR CRYSTAL</t>
  </si>
  <si>
    <t>N6583-272.JPG</t>
  </si>
  <si>
    <t>N6583</t>
  </si>
  <si>
    <t>N6584-272</t>
  </si>
  <si>
    <t>4 LIGHT MINI PENDANT</t>
  </si>
  <si>
    <t>VEL CATENA - 4 LIGHT MINI PENDANT</t>
  </si>
  <si>
    <t>B10.5 Candelabra Base</t>
  </si>
  <si>
    <t>N6584-272.JPG</t>
  </si>
  <si>
    <t>N6584</t>
  </si>
  <si>
    <t>N6585-272</t>
  </si>
  <si>
    <t>VEL CATENA - 8 LIGHT PENDANT</t>
  </si>
  <si>
    <t>GF442, CLEAR CRYSTAL</t>
  </si>
  <si>
    <t>N6585-272.JPG</t>
  </si>
  <si>
    <t>N6585</t>
  </si>
  <si>
    <t>N6586-272</t>
  </si>
  <si>
    <t>VEL CATENA - 6 LIGHT PENDANT</t>
  </si>
  <si>
    <t>N6586-272.JPG</t>
  </si>
  <si>
    <t>N6586</t>
  </si>
  <si>
    <t>N6587-272</t>
  </si>
  <si>
    <t>N6587-272.JPG</t>
  </si>
  <si>
    <t>N6587</t>
  </si>
  <si>
    <t>N6588-272</t>
  </si>
  <si>
    <t>B10.5 Candelabra base</t>
  </si>
  <si>
    <t>N6588-272.JPG</t>
  </si>
  <si>
    <t>N6588</t>
  </si>
  <si>
    <t>N6589-272</t>
  </si>
  <si>
    <t>VEL CATENA - 8 LIGHT ISLAND</t>
  </si>
  <si>
    <t>N6589-272.JPG</t>
  </si>
  <si>
    <t>N6589</t>
  </si>
  <si>
    <t>N6610-613</t>
  </si>
  <si>
    <t>AISE - 6 LIGHT CHANDELIER</t>
  </si>
  <si>
    <t>N6610-613.JPG</t>
  </si>
  <si>
    <t>N6610</t>
  </si>
  <si>
    <t>N6611-613</t>
  </si>
  <si>
    <t>AISE - 12 LIGHT 2 TIER CHANDELIER</t>
  </si>
  <si>
    <t>N6611-613.JPG</t>
  </si>
  <si>
    <t>N6611</t>
  </si>
  <si>
    <t>Steel + Fabric</t>
  </si>
  <si>
    <t>10 LIGHT PENDANT</t>
  </si>
  <si>
    <t>N6640-258B</t>
  </si>
  <si>
    <t>BELLA CRISTALLO - 6 LIGHT ISLAND</t>
  </si>
  <si>
    <t>Pleated Champagne Cloth</t>
  </si>
  <si>
    <t>N6640-258B.JPG</t>
  </si>
  <si>
    <t>N6640</t>
  </si>
  <si>
    <t>Steel + Poly+ Crystal + Fabric</t>
  </si>
  <si>
    <t>N6642-258B</t>
  </si>
  <si>
    <t>BELLA CRISTALLO - 3 LIGHT SEMI FLUSH</t>
  </si>
  <si>
    <t>A-19,Med.</t>
  </si>
  <si>
    <t>Champagne Scavo</t>
  </si>
  <si>
    <t>N6642-258B.JPG</t>
  </si>
  <si>
    <t>N6642</t>
  </si>
  <si>
    <t>Steel+Glass+Poly</t>
  </si>
  <si>
    <t>N6643-258B</t>
  </si>
  <si>
    <t>3 LIGHT CHANDELIER</t>
  </si>
  <si>
    <t>BELLA CRISTALLO - 3 LIGHT CHANDELIER</t>
  </si>
  <si>
    <t>B10.5,Cand</t>
  </si>
  <si>
    <t>N6643-258B.JPG</t>
  </si>
  <si>
    <t>Dry</t>
  </si>
  <si>
    <t>N6643</t>
  </si>
  <si>
    <t>Steel+Glass+Cloth+Poly</t>
  </si>
  <si>
    <t>N6644-258B</t>
  </si>
  <si>
    <t>BELLA CRISTALLO - 4 LIGHT PENDANT</t>
  </si>
  <si>
    <t>N6644-258B.JPG</t>
  </si>
  <si>
    <t>N6644</t>
  </si>
  <si>
    <t>Steel + Poly + Crystal</t>
  </si>
  <si>
    <t>N6645-258B</t>
  </si>
  <si>
    <t>BELLA CRISTALLO - 5 LIGHT CHANDELIER</t>
  </si>
  <si>
    <t>Pleated Changagne</t>
  </si>
  <si>
    <t>N6645-258B.JPG</t>
  </si>
  <si>
    <t>N6645</t>
  </si>
  <si>
    <t>N6646-258B</t>
  </si>
  <si>
    <t>BELLA CRISTALLO - 6 LIGHT CHANDELIER</t>
  </si>
  <si>
    <t>N6646-258B.JPG</t>
  </si>
  <si>
    <t>N6646</t>
  </si>
  <si>
    <t>Steel + Glass + Fabric + Poly</t>
  </si>
  <si>
    <t>N6648-258B</t>
  </si>
  <si>
    <t>BELLA CRISTALLO - 8 LIGHT CHANDELIER</t>
  </si>
  <si>
    <t>Pleated Chanpagne</t>
  </si>
  <si>
    <t>N6648-258B.JPG</t>
  </si>
  <si>
    <t>N6648</t>
  </si>
  <si>
    <t>Steel + Glass + Cloth + Poly</t>
  </si>
  <si>
    <t>N6649-258B</t>
  </si>
  <si>
    <t>BELLA CRISTALLO - 12 LIGHT CHANDELIER</t>
  </si>
  <si>
    <t>N6649-258B.JPG</t>
  </si>
  <si>
    <t>N6649</t>
  </si>
  <si>
    <t>N6670-274</t>
  </si>
  <si>
    <t>3 LIGHT MINI PENDANT</t>
  </si>
  <si>
    <t>BEL MONDO - 3 LIGHT MINI PENDANT</t>
  </si>
  <si>
    <t>N6670-274.JPG</t>
  </si>
  <si>
    <t>N6670</t>
  </si>
  <si>
    <t>N6671-274</t>
  </si>
  <si>
    <t>7 LIGHT PENDANT</t>
  </si>
  <si>
    <t>BEL MONDO - 7 LIGHT PENDANT</t>
  </si>
  <si>
    <t>N6671-274.JPG</t>
  </si>
  <si>
    <t>N6671</t>
  </si>
  <si>
    <t>N6672-274</t>
  </si>
  <si>
    <t>BEL MONDO - 5 LIGHT SEMI FLUSH</t>
  </si>
  <si>
    <t>N6672-274.JPG</t>
  </si>
  <si>
    <t>N6672</t>
  </si>
  <si>
    <t>N6673-274</t>
  </si>
  <si>
    <t>BEL MONDO - 10 LIGHT PENDANT</t>
  </si>
  <si>
    <t>N6673-274.JPG</t>
  </si>
  <si>
    <t>N6673</t>
  </si>
  <si>
    <t>N6676-274</t>
  </si>
  <si>
    <t>BEL MONDO - 12 LIGHT CHANDELIER</t>
  </si>
  <si>
    <t>N6676-274.JPG</t>
  </si>
  <si>
    <t>N6676</t>
  </si>
  <si>
    <t>N6677-274</t>
  </si>
  <si>
    <t>18 LIGHT CHANDELIER</t>
  </si>
  <si>
    <t>BEL MONDO - 18 LIGHT CHANDELIER</t>
  </si>
  <si>
    <t>N6677-274.JPG</t>
  </si>
  <si>
    <t>N6677</t>
  </si>
  <si>
    <t>N6678-274</t>
  </si>
  <si>
    <t>BEL MONDO - 21 LIGHT CHANDELIER</t>
  </si>
  <si>
    <t>N6678-274.JPG</t>
  </si>
  <si>
    <t>N6678</t>
  </si>
  <si>
    <t>N6679-274</t>
  </si>
  <si>
    <t>21 LIGHT ISLAND LIGHT</t>
  </si>
  <si>
    <t>BEL MONDO - 21 LIGHT ISLAND</t>
  </si>
  <si>
    <t>N6679-274.JPG</t>
  </si>
  <si>
    <t>N6679</t>
  </si>
  <si>
    <t>N6721-258</t>
  </si>
  <si>
    <t>AJOURER - 1 LIGHT MINI PENDANT</t>
  </si>
  <si>
    <t>N6721-258.JPG</t>
  </si>
  <si>
    <t>N6721</t>
  </si>
  <si>
    <t>STEEL+PLASTIC</t>
  </si>
  <si>
    <t>AJOURER - 6 LIGHT CHANDELIER</t>
  </si>
  <si>
    <t>N6724-258</t>
  </si>
  <si>
    <t>8 LIGHT DRUM PENDANT</t>
  </si>
  <si>
    <t>AJOURER - 8 LIGHT DRUM PENDANT</t>
  </si>
  <si>
    <t>N6724-258.JPG</t>
  </si>
  <si>
    <t>N6724</t>
  </si>
  <si>
    <t>STEEL+CRYSTAL+PLASTIC</t>
  </si>
  <si>
    <t>N6725-258</t>
  </si>
  <si>
    <t>N6725-258.JPG</t>
  </si>
  <si>
    <t>N6725</t>
  </si>
  <si>
    <t>N6726-258</t>
  </si>
  <si>
    <t>AJOURER - 8 LIGHT CHANDELIER</t>
  </si>
  <si>
    <t>N6726-258.JPG</t>
  </si>
  <si>
    <t>N6726</t>
  </si>
  <si>
    <t>N6727-258</t>
  </si>
  <si>
    <t>8 LIGHT OVAL CHANDELIER</t>
  </si>
  <si>
    <t>N6727-258.JPG</t>
  </si>
  <si>
    <t>N6727</t>
  </si>
  <si>
    <t>N6728-258</t>
  </si>
  <si>
    <t>6 LIGHT DRUM PENDANT</t>
  </si>
  <si>
    <t>AJOURER - 6 LIGHT DRUM PENDANT</t>
  </si>
  <si>
    <t>N6728-258.JPG</t>
  </si>
  <si>
    <t>N6728</t>
  </si>
  <si>
    <t>N6729-258</t>
  </si>
  <si>
    <t>10 LIGHT DRUM PENDANT</t>
  </si>
  <si>
    <t>AJOURER - 10 LIGHT DRUM PENDANT</t>
  </si>
  <si>
    <t>N6729-258.JPG</t>
  </si>
  <si>
    <t>N6729</t>
  </si>
  <si>
    <t>STEEL+CRYSTAL+PLASTIC SHEET</t>
  </si>
  <si>
    <t>N6750-613</t>
  </si>
  <si>
    <t>MAGIQUE - 3 LIGHT SEMI FLUSH</t>
  </si>
  <si>
    <t>N6750-613.JPG</t>
  </si>
  <si>
    <t>N6750</t>
  </si>
  <si>
    <t>MAGIQUE - 5 LIGHT PENDANT</t>
  </si>
  <si>
    <t>N6756-613</t>
  </si>
  <si>
    <t>MAGIQUE - 8 LIGHT DRUM PENDANT</t>
  </si>
  <si>
    <t>N6756-613.JPG</t>
  </si>
  <si>
    <t>N6756</t>
  </si>
  <si>
    <t>N6757-613</t>
  </si>
  <si>
    <t>N6757-613.JPG</t>
  </si>
  <si>
    <t>N6757</t>
  </si>
  <si>
    <t>N6759-613</t>
  </si>
  <si>
    <t>MAGIQUE - 13 LIGHT CHANDELIER</t>
  </si>
  <si>
    <t>N6759-613.JPG</t>
  </si>
  <si>
    <t>N6759</t>
  </si>
  <si>
    <t>N6770-293</t>
  </si>
  <si>
    <t>CORONADE - 3 LIGHT MINI PENDANT</t>
  </si>
  <si>
    <t>CORONADE</t>
  </si>
  <si>
    <t>N6770-293.JPG</t>
  </si>
  <si>
    <t>N6770</t>
  </si>
  <si>
    <t>N6771-293</t>
  </si>
  <si>
    <t>CORONADE - 4 LIGHT PENDANT</t>
  </si>
  <si>
    <t>N6771-293.JPG</t>
  </si>
  <si>
    <t>N6771</t>
  </si>
  <si>
    <t>N6772-293</t>
  </si>
  <si>
    <t>4 LIGHT SEMI FLUSH (CONVERTIBLE TO PENDANT)</t>
  </si>
  <si>
    <t>CORONADE - 4 LIGHT SEMI FLUSH (CONVERTIBLE TO PENDANT)</t>
  </si>
  <si>
    <t>N6772-293.JPG</t>
  </si>
  <si>
    <t>N6772</t>
  </si>
  <si>
    <t>N6773-293</t>
  </si>
  <si>
    <t>N6773-293.JPG</t>
  </si>
  <si>
    <t>N6773</t>
  </si>
  <si>
    <t>N6774-293</t>
  </si>
  <si>
    <t>N6774-293.JPG</t>
  </si>
  <si>
    <t>N6774</t>
  </si>
  <si>
    <t>N6775-293</t>
  </si>
  <si>
    <t>CORONADE - 6 LIGHT PENDANT</t>
  </si>
  <si>
    <t>N6775-293.JPG</t>
  </si>
  <si>
    <t>N6775</t>
  </si>
  <si>
    <t>N6776-293</t>
  </si>
  <si>
    <t>6 LIGHT PENDANT (CONVERTIBLE TO SEMI-FLUSH)</t>
  </si>
  <si>
    <t>CORONADE - 6 LIGHT DRUM PENDANT - SEMI FLUSH</t>
  </si>
  <si>
    <t>N6776-293.JPG</t>
  </si>
  <si>
    <t>N6776</t>
  </si>
  <si>
    <t>N6778-293</t>
  </si>
  <si>
    <t>10 LIGHT ISLAND LIGHT</t>
  </si>
  <si>
    <t>CORONADE - 10 LIGHT ISLAND</t>
  </si>
  <si>
    <t>N6778-293.JPG</t>
  </si>
  <si>
    <t>N6778</t>
  </si>
  <si>
    <t>N6800-613</t>
  </si>
  <si>
    <t>CONTINENTAL CLASSICS - 6 LIGHT ISLAND</t>
  </si>
  <si>
    <t>N6800-613.JPG</t>
  </si>
  <si>
    <t>N6800</t>
  </si>
  <si>
    <t>4 LIGHT CHANDELIER</t>
  </si>
  <si>
    <t>N6802-613</t>
  </si>
  <si>
    <t>CONTINENTAL CLASSICS - 6 LIGHT CHANDELIER</t>
  </si>
  <si>
    <t>White Pleated</t>
  </si>
  <si>
    <t>N6802-613.JPG</t>
  </si>
  <si>
    <t>N6802</t>
  </si>
  <si>
    <t>N681A</t>
  </si>
  <si>
    <t>ANTIQUE GOLD</t>
  </si>
  <si>
    <t>N681A.JPG</t>
  </si>
  <si>
    <t>N681B</t>
  </si>
  <si>
    <t>N681B.JPG</t>
  </si>
  <si>
    <t>N682</t>
  </si>
  <si>
    <t>N682.JPG</t>
  </si>
  <si>
    <t>BRASS/STEEL</t>
  </si>
  <si>
    <t>N682B</t>
  </si>
  <si>
    <t>N682B.JPG</t>
  </si>
  <si>
    <t>N6830-613</t>
  </si>
  <si>
    <t>FUSANO - 6 LIGHT CHANDELIER</t>
  </si>
  <si>
    <t>N6830-613.JPG</t>
  </si>
  <si>
    <t>N6830</t>
  </si>
  <si>
    <t>N6831-613</t>
  </si>
  <si>
    <t>FUSANO - 12 LIGHT CHANDELIER</t>
  </si>
  <si>
    <t>N6831-613.JPG</t>
  </si>
  <si>
    <t>N6831</t>
  </si>
  <si>
    <t>N6832-613</t>
  </si>
  <si>
    <t>3 LIGHT MINI CHANDELIER</t>
  </si>
  <si>
    <t>FUSANO - 3 LIGHT MINI CHANDELIER</t>
  </si>
  <si>
    <t>N6832-613.JPG</t>
  </si>
  <si>
    <t>N6832</t>
  </si>
  <si>
    <t>N6840-613</t>
  </si>
  <si>
    <t>CHADBOURNE - 4 LIGHT PENDANT</t>
  </si>
  <si>
    <t>FABRIC</t>
  </si>
  <si>
    <t>N6840-613.JPG</t>
  </si>
  <si>
    <t>N6840</t>
  </si>
  <si>
    <t>STEEL+CRYSTAL+FABRIC</t>
  </si>
  <si>
    <t>N6841-613</t>
  </si>
  <si>
    <t>N6841-613.JPG</t>
  </si>
  <si>
    <t>N6841</t>
  </si>
  <si>
    <t>N6842-613</t>
  </si>
  <si>
    <t>CHADBOURNE - 5 LIGHT CHANDELIER</t>
  </si>
  <si>
    <t>N6842-613.JPG</t>
  </si>
  <si>
    <t>N6842</t>
  </si>
  <si>
    <t>IRONSIGHTS - 4 LIGHT PENDANT</t>
  </si>
  <si>
    <t>IRONSIGHTS</t>
  </si>
  <si>
    <t>BRUSHED NICKEL</t>
  </si>
  <si>
    <t>N6855-84</t>
  </si>
  <si>
    <t>N6855-84.JPG</t>
  </si>
  <si>
    <t>N6855</t>
  </si>
  <si>
    <t>N6862-278</t>
  </si>
  <si>
    <t>BELLA FLORA - 12 LIGHT PENDANT</t>
  </si>
  <si>
    <t>N6862-278.JPG</t>
  </si>
  <si>
    <t>N6862</t>
  </si>
  <si>
    <t>N6865-278</t>
  </si>
  <si>
    <t>BELLA FLORA - 5 LIGHT SEMI FLUSH</t>
  </si>
  <si>
    <t>G9 Xenon</t>
  </si>
  <si>
    <t>N6865-278.JPG</t>
  </si>
  <si>
    <t>N6865</t>
  </si>
  <si>
    <t>N6866-278</t>
  </si>
  <si>
    <t>BELLA FLORA - 6 LIGHT PENDANT</t>
  </si>
  <si>
    <t>N6866-278.JPG</t>
  </si>
  <si>
    <t>N6866</t>
  </si>
  <si>
    <t>N6867-278</t>
  </si>
  <si>
    <t>BELLA FLORA - 16 LIGHT CHANDELIER</t>
  </si>
  <si>
    <t>N6867-278.JPG</t>
  </si>
  <si>
    <t>N6867</t>
  </si>
  <si>
    <t>N6868-278</t>
  </si>
  <si>
    <t>BELLA FLORA - 8 LIGHT PENDANT</t>
  </si>
  <si>
    <t>N6868-278.JPG</t>
  </si>
  <si>
    <t>N6868</t>
  </si>
  <si>
    <t>N6869-278</t>
  </si>
  <si>
    <t>BELLA FLORA - 12 LIGHT ISLAND</t>
  </si>
  <si>
    <t>N6869-278.JPG</t>
  </si>
  <si>
    <t>N6869</t>
  </si>
  <si>
    <t>N6870-613</t>
  </si>
  <si>
    <t>N6870-613.JPG</t>
  </si>
  <si>
    <t>N6870</t>
  </si>
  <si>
    <t>STEEL CRYSTAL</t>
  </si>
  <si>
    <t>N6871-613</t>
  </si>
  <si>
    <t>CHADBOURNE - 8 LIGHT- 2 TIER CHANDELIER</t>
  </si>
  <si>
    <t>N6871-613.JPG</t>
  </si>
  <si>
    <t>N6871</t>
  </si>
  <si>
    <t>N6883-293</t>
  </si>
  <si>
    <t>THREE LIGHT SEMI FLUSH</t>
  </si>
  <si>
    <t>CLAIRPOINTE - 3 LIGHT SEMI FLUSH</t>
  </si>
  <si>
    <t>CLAIRPOINTE</t>
  </si>
  <si>
    <t>N6883-293.JPG</t>
  </si>
  <si>
    <t>N6883</t>
  </si>
  <si>
    <t>STEEL+BRASS</t>
  </si>
  <si>
    <t>N6884-293</t>
  </si>
  <si>
    <t>8 LIGHT SEMI FLUSH</t>
  </si>
  <si>
    <t>CLAIRPOINTE - 8 LIGHT SEMI FLUSH</t>
  </si>
  <si>
    <t>N6884-293.JPG</t>
  </si>
  <si>
    <t>N6884</t>
  </si>
  <si>
    <t>N6885-293</t>
  </si>
  <si>
    <t>12 LIGHT SEMI FLUSH</t>
  </si>
  <si>
    <t>CLAIRPOINTE - 12 LIGHT SEMI FLUSH</t>
  </si>
  <si>
    <t>N6885-293.JPG</t>
  </si>
  <si>
    <t>N6885</t>
  </si>
  <si>
    <t>N6886-293</t>
  </si>
  <si>
    <t>EIGHT LIGHT PENDANT</t>
  </si>
  <si>
    <t>CLAIRPOINTE - 8 LIGHT PENDANT</t>
  </si>
  <si>
    <t>N6886-293.JPG</t>
  </si>
  <si>
    <t>N6886</t>
  </si>
  <si>
    <t>N6887-293</t>
  </si>
  <si>
    <t>TEN LIGHT ISLAND</t>
  </si>
  <si>
    <t>CLAIRPOINTE - 10 LIGHT ISLAND</t>
  </si>
  <si>
    <t>N6887-293.JPG</t>
  </si>
  <si>
    <t>N6887</t>
  </si>
  <si>
    <t>N6888-293</t>
  </si>
  <si>
    <t>TWELVE LIGHT CHANDELIER</t>
  </si>
  <si>
    <t>CLAIRPOINTE - 12 LIGHT CHANDELIER</t>
  </si>
  <si>
    <t>N6888-293.JPG</t>
  </si>
  <si>
    <t>N6888</t>
  </si>
  <si>
    <t>N6889-293</t>
  </si>
  <si>
    <t>TWENTY FOUR LIGHT CHANDELIER</t>
  </si>
  <si>
    <t>CLAIRPOINTE - 24 LIGHT CHANDELIER</t>
  </si>
  <si>
    <t>N6889-293.JPG</t>
  </si>
  <si>
    <t>N6889</t>
  </si>
  <si>
    <t>N6930-1-77</t>
  </si>
  <si>
    <t>KINGSWELL - 1 LIGHT WALL SCONCE</t>
  </si>
  <si>
    <t>KINGSWELL</t>
  </si>
  <si>
    <t>EIDOLON KRYSTAL</t>
  </si>
  <si>
    <t>N6930-1-77.JPG</t>
  </si>
  <si>
    <t>N6930</t>
  </si>
  <si>
    <t>STEEL+CLOTH+CRYSTAL</t>
  </si>
  <si>
    <t>N6935-1-77</t>
  </si>
  <si>
    <t>KINGSWELL - 5 LIGHT CHANDELIER</t>
  </si>
  <si>
    <t>N6935-1-77.JPG</t>
  </si>
  <si>
    <t>N6935</t>
  </si>
  <si>
    <t>STEEL+CRYSTAL+CLOTH</t>
  </si>
  <si>
    <t>N6943-575</t>
  </si>
  <si>
    <t>LEICESTER - 4 LIGHT PENDANT</t>
  </si>
  <si>
    <t>N6943-575.JPG</t>
  </si>
  <si>
    <t>N6943</t>
  </si>
  <si>
    <t>Brass + Metal</t>
  </si>
  <si>
    <t>N6944-575</t>
  </si>
  <si>
    <t>N6944-575.JPG</t>
  </si>
  <si>
    <t>N6944</t>
  </si>
  <si>
    <t>Brass+Metal</t>
  </si>
  <si>
    <t>N6946-575</t>
  </si>
  <si>
    <t>LEICESTER - 6 LIGHT ISLAND</t>
  </si>
  <si>
    <t>N6946-575.JPG</t>
  </si>
  <si>
    <t>N6946</t>
  </si>
  <si>
    <t>N6948-575</t>
  </si>
  <si>
    <t>LEICESTER - 8 LIGHT CHANDELIER</t>
  </si>
  <si>
    <t>N6948-575.JPG</t>
  </si>
  <si>
    <t>N6948</t>
  </si>
  <si>
    <t>UNDERSCORE - 3 LIGHT PENDANT</t>
  </si>
  <si>
    <t>N6953-1-267B</t>
  </si>
  <si>
    <t>1-LIGHT MINI PENDANT</t>
  </si>
  <si>
    <t>UNDERSCORE - 1 LIGHT MINI PENDANT</t>
  </si>
  <si>
    <t>N6953-1-267B.JPG</t>
  </si>
  <si>
    <t>N6953</t>
  </si>
  <si>
    <t>N6954-1-267B</t>
  </si>
  <si>
    <t>N6954-1-267B.JPG</t>
  </si>
  <si>
    <t>N6954</t>
  </si>
  <si>
    <t>N6955-1-267B</t>
  </si>
  <si>
    <t>2 LIGHT MINI PENDANT</t>
  </si>
  <si>
    <t>UNDERSCORE - 2 LIGHT PENDANT</t>
  </si>
  <si>
    <t>N6955-1-267B.JPG</t>
  </si>
  <si>
    <t>N6955</t>
  </si>
  <si>
    <t>N6956-1-267B</t>
  </si>
  <si>
    <t>N6956-1-267B.JPG</t>
  </si>
  <si>
    <t>N6956</t>
  </si>
  <si>
    <t>N6959-1-267B</t>
  </si>
  <si>
    <t>4-LIGHT ISLAND</t>
  </si>
  <si>
    <t>UNDERSCORE - 4 LIGHT ISLAND</t>
  </si>
  <si>
    <t>N6959-1-267B.JPG</t>
  </si>
  <si>
    <t>N6959</t>
  </si>
  <si>
    <t>N6960-1-267B</t>
  </si>
  <si>
    <t>2-LIGHT SEMI FLUSH</t>
  </si>
  <si>
    <t>UNDERSCORE - 2 LIGHT SEMI FLUSH</t>
  </si>
  <si>
    <t>N6960-1-267B.JPG</t>
  </si>
  <si>
    <t>N6960</t>
  </si>
  <si>
    <t>N6961-1-267B</t>
  </si>
  <si>
    <t>UNDERSCORE - 1 LIGHT WALL SCONCE</t>
  </si>
  <si>
    <t>N6961-1-267B.JPG</t>
  </si>
  <si>
    <t>N6961</t>
  </si>
  <si>
    <t>N6962-1-267B</t>
  </si>
  <si>
    <t>UNDERSCORE - 2 LIGHT WALL SCONCE</t>
  </si>
  <si>
    <t>N6962-1-267B.JPG</t>
  </si>
  <si>
    <t>N6962</t>
  </si>
  <si>
    <t>N6963-1-267B</t>
  </si>
  <si>
    <t>3 LIGHT DRUM PENDANT</t>
  </si>
  <si>
    <t>UNDERSCORE - 3 LIGHT DRUM PENDANT</t>
  </si>
  <si>
    <t>N6963-1-267B.JPG</t>
  </si>
  <si>
    <t>N6963</t>
  </si>
  <si>
    <t>N6964-1-267B</t>
  </si>
  <si>
    <t>UNDERSCORE - 3 LIGHT SEMI FLUSH</t>
  </si>
  <si>
    <t>N6964-1-267B.JPG</t>
  </si>
  <si>
    <t>N6964</t>
  </si>
  <si>
    <t>N6965-1-267B</t>
  </si>
  <si>
    <t>4 LIGHT DRUM PENDANT</t>
  </si>
  <si>
    <t>UNDERSCORE - 4 LIGHT DRUM PENDANT</t>
  </si>
  <si>
    <t>N6965-1-267B.JPG</t>
  </si>
  <si>
    <t>N6965</t>
  </si>
  <si>
    <t>N6966-1-267B</t>
  </si>
  <si>
    <t>N6966-1-267B.JPG</t>
  </si>
  <si>
    <t>N6966</t>
  </si>
  <si>
    <t>N6967-1-267B</t>
  </si>
  <si>
    <t>UNDERSCORE - 5 LIGHT DRUM PENDANT</t>
  </si>
  <si>
    <t>N6967-1-267B.JPG</t>
  </si>
  <si>
    <t>N6967</t>
  </si>
  <si>
    <t>N6968-1-267B</t>
  </si>
  <si>
    <t>UNDERSCORE - 6 LIGHT DRUM PENDANT</t>
  </si>
  <si>
    <t>N6968-1-267B.JPG</t>
  </si>
  <si>
    <t>N6968</t>
  </si>
  <si>
    <t>N6982-613</t>
  </si>
  <si>
    <t>CASTLE AURORA - 12 LIGHT CHANDELIER</t>
  </si>
  <si>
    <t>N6982-613.JPG</t>
  </si>
  <si>
    <t>N6982</t>
  </si>
  <si>
    <t>STAINLESS STEEL+CRYSTAL</t>
  </si>
  <si>
    <t>N6986-613</t>
  </si>
  <si>
    <t>CASTLE AURORA - 16 LIGHT CHANDELIER</t>
  </si>
  <si>
    <t>GL2981, 6"TOP/5"BOTTOM; 7.125H</t>
  </si>
  <si>
    <t>N6986-613.JPG</t>
  </si>
  <si>
    <t>N6986</t>
  </si>
  <si>
    <t>N6987-613</t>
  </si>
  <si>
    <t>8 LIGHT SEMI FLUSH MOUNT</t>
  </si>
  <si>
    <t>CASTLE AURORA - 8 LIGHT SEMI FLUSH</t>
  </si>
  <si>
    <t>N6987-613.JPG</t>
  </si>
  <si>
    <t>N6987</t>
  </si>
  <si>
    <t>STAINLESS STEEL+METAL+CRYSTAL</t>
  </si>
  <si>
    <t>N6988-613</t>
  </si>
  <si>
    <t>CASTLE AURORA - 8 LIGHT PENDANT</t>
  </si>
  <si>
    <t>N6988-613.JPG</t>
  </si>
  <si>
    <t>N6988</t>
  </si>
  <si>
    <t>N6994-613-L</t>
  </si>
  <si>
    <t>LED CHANDELIER</t>
  </si>
  <si>
    <t>WINTER SOLSTICE - LED CHANDELIER</t>
  </si>
  <si>
    <t>WINTER SOLSTICE</t>
  </si>
  <si>
    <t>N6994-613-L.JPG</t>
  </si>
  <si>
    <t>N6994</t>
  </si>
  <si>
    <t>N6995-613-L</t>
  </si>
  <si>
    <t>CHANDELIER</t>
  </si>
  <si>
    <t>N6995-613-L.JPG</t>
  </si>
  <si>
    <t>N6995</t>
  </si>
  <si>
    <t>N6996-613-L</t>
  </si>
  <si>
    <t>narrow Width</t>
  </si>
  <si>
    <t>N6996-613-L.JPG</t>
  </si>
  <si>
    <t>N6996</t>
  </si>
  <si>
    <t>N700202</t>
  </si>
  <si>
    <t>N700202.JPG</t>
  </si>
  <si>
    <t>Brass</t>
  </si>
  <si>
    <t>N700206</t>
  </si>
  <si>
    <t>N700206.JPG</t>
  </si>
  <si>
    <t>N700212</t>
  </si>
  <si>
    <t>N700212.JPG</t>
  </si>
  <si>
    <t>N700218</t>
  </si>
  <si>
    <t>N700218.JPG</t>
  </si>
  <si>
    <t>N700408</t>
  </si>
  <si>
    <t>Candelabra (B)</t>
  </si>
  <si>
    <t>N700408.JPG</t>
  </si>
  <si>
    <t>N7100-258B</t>
  </si>
  <si>
    <t>CORTONA - 1 LIGHT WALL SCONCE</t>
  </si>
  <si>
    <t>French Bronze w/ Gold Highligh</t>
  </si>
  <si>
    <t>N7100-258B.JPG</t>
  </si>
  <si>
    <t>N7100</t>
  </si>
  <si>
    <t>N7101-258B</t>
  </si>
  <si>
    <t>N7101-258B.JPG</t>
  </si>
  <si>
    <t>N7101</t>
  </si>
  <si>
    <t>N7102-258B</t>
  </si>
  <si>
    <t>CORTONA - 2 LIGHT WALL TORCHIERE</t>
  </si>
  <si>
    <t>N7102-258B.JPG</t>
  </si>
  <si>
    <t>N7102</t>
  </si>
  <si>
    <t>N7103-258B</t>
  </si>
  <si>
    <t>CORTONA - 3 LIGHT WALL SCONCE</t>
  </si>
  <si>
    <t>N7103-258B.JPG</t>
  </si>
  <si>
    <t>N7103</t>
  </si>
  <si>
    <t>N7104-258B</t>
  </si>
  <si>
    <t>4 LIGHT PENDANT (CONVERTIBLE TO SEMI FLUSH)</t>
  </si>
  <si>
    <t>CORTONA - 4 LIGHT PENDANT</t>
  </si>
  <si>
    <t>N7104-258B.JPG</t>
  </si>
  <si>
    <t>N7104</t>
  </si>
  <si>
    <t>N7105-258B</t>
  </si>
  <si>
    <t>5 LIGHT FOYER PENDANT</t>
  </si>
  <si>
    <t>CORTONA - 5 LIGHT FOYER PENDANT</t>
  </si>
  <si>
    <t>N7105-258B.JPG</t>
  </si>
  <si>
    <t>N7105</t>
  </si>
  <si>
    <t>N7106-258B</t>
  </si>
  <si>
    <t>N7106-258B.JPG</t>
  </si>
  <si>
    <t>N7106</t>
  </si>
  <si>
    <t>N7107-258B</t>
  </si>
  <si>
    <t>5 LIGHT ISLAND LIGHT</t>
  </si>
  <si>
    <t>CORTONA - 5 LIGHT ISLAND</t>
  </si>
  <si>
    <t>N7107-258B.JPG</t>
  </si>
  <si>
    <t>N7107</t>
  </si>
  <si>
    <t>N7109-258B</t>
  </si>
  <si>
    <t>N7109-258B.JPG</t>
  </si>
  <si>
    <t>N7109</t>
  </si>
  <si>
    <t>N7111-258B</t>
  </si>
  <si>
    <t>CORTONA - 5 LIGHT PENDANT</t>
  </si>
  <si>
    <t>N7111-258B.JPG</t>
  </si>
  <si>
    <t>N7111</t>
  </si>
  <si>
    <t>N7112-258B</t>
  </si>
  <si>
    <t>CORTONA - 12 LIGHT CHANDELIER</t>
  </si>
  <si>
    <t>E12,CANDELABRA</t>
  </si>
  <si>
    <t>N7112-258B.JPG</t>
  </si>
  <si>
    <t>N7112</t>
  </si>
  <si>
    <t>N7115-258B</t>
  </si>
  <si>
    <t>CORTONA - 5 LIGHT CHANDELIER</t>
  </si>
  <si>
    <t>N7115-258B.JPG</t>
  </si>
  <si>
    <t>N7115</t>
  </si>
  <si>
    <t>N7131-597</t>
  </si>
  <si>
    <t>MINI PENDANT</t>
  </si>
  <si>
    <t>ABBONDANZA - 1 LIGHT MINI PENDANT</t>
  </si>
  <si>
    <t>N7131-597.JPG</t>
  </si>
  <si>
    <t>N7131</t>
  </si>
  <si>
    <t>N7132-597</t>
  </si>
  <si>
    <t>ABBONDANZA - 2 LIGHT WALL SCONCE</t>
  </si>
  <si>
    <t>N7132-597.JPG</t>
  </si>
  <si>
    <t>N7132</t>
  </si>
  <si>
    <t>N7135-597</t>
  </si>
  <si>
    <t>6 LIGHT PENDANT(CONVERTIBLE TO SEMI-FLUSH)</t>
  </si>
  <si>
    <t>ABBONDANZA - 6 LIGHT PENDANT (CONVERTIBLE TO SEMI FLUSH)</t>
  </si>
  <si>
    <t>N7135-597.JPG</t>
  </si>
  <si>
    <t>N7135</t>
  </si>
  <si>
    <t>N7136-597</t>
  </si>
  <si>
    <t>6 LIGHT CHANDELIER (CONVERTIBLE TO SEMI-FLUSH)</t>
  </si>
  <si>
    <t>ABBONDANZA - 6 LIGHT CHANDELIER (CONVERTIBLE TO SEMI FLUSH)</t>
  </si>
  <si>
    <t>N7136-597.JPG</t>
  </si>
  <si>
    <t>N7136</t>
  </si>
  <si>
    <t>N7137-597</t>
  </si>
  <si>
    <t>EIGHT LIGHT CHANDELIER</t>
  </si>
  <si>
    <t>ABBONDANZA - 8 LIGHT CHANDELIER</t>
  </si>
  <si>
    <t>N7137-597.JPG</t>
  </si>
  <si>
    <t>N7137</t>
  </si>
  <si>
    <t>N7138-597</t>
  </si>
  <si>
    <t>ABBONDANZA - 8 LIGHT PENDANT</t>
  </si>
  <si>
    <t>N7138-597.JPG</t>
  </si>
  <si>
    <t>N7138</t>
  </si>
  <si>
    <t>N7139-597</t>
  </si>
  <si>
    <t>N7139-597.JPG</t>
  </si>
  <si>
    <t>N7215-578</t>
  </si>
  <si>
    <t>SHIMMERING FALLS - 15 LIGHT CHANDELIER</t>
  </si>
  <si>
    <t>N7215-578.JPG</t>
  </si>
  <si>
    <t>N7215</t>
  </si>
  <si>
    <t>N7216-578</t>
  </si>
  <si>
    <t>SHIMMERING FALLS - 18 LIGHT CHANDELIER</t>
  </si>
  <si>
    <t>N7216-578.JPG</t>
  </si>
  <si>
    <t>N7216</t>
  </si>
  <si>
    <t>N7222-578</t>
  </si>
  <si>
    <t>25 LIGHT ISLAND LIGHT</t>
  </si>
  <si>
    <t>SHIMMERING FALLS - 22 LIGHT ISLAND</t>
  </si>
  <si>
    <t>N7222-578.JPG</t>
  </si>
  <si>
    <t>N7222</t>
  </si>
  <si>
    <t>N7235-613-L</t>
  </si>
  <si>
    <t>LED SEMI FLUSH</t>
  </si>
  <si>
    <t>STELLARIS - LED SEMI FLUSH MOUNT</t>
  </si>
  <si>
    <t>N7235-613-L.JPG</t>
  </si>
  <si>
    <t>N7235</t>
  </si>
  <si>
    <t>STEEL+ALUMINUM+ACRYLIC+GLASS</t>
  </si>
  <si>
    <t>N7236-613-L</t>
  </si>
  <si>
    <t>STELLARIS - LED CHANDELIER</t>
  </si>
  <si>
    <t>N7236-613-L.JPG</t>
  </si>
  <si>
    <t>N7236</t>
  </si>
  <si>
    <t>N7237-613-L</t>
  </si>
  <si>
    <t>LED ISLAND</t>
  </si>
  <si>
    <t>STELLARIS - LED ISLAND LIGHT</t>
  </si>
  <si>
    <t>Z03,LED</t>
  </si>
  <si>
    <t>Z48,LED</t>
  </si>
  <si>
    <t>N7237-613-L.JPG</t>
  </si>
  <si>
    <t>N7237</t>
  </si>
  <si>
    <t>N7238-613-L</t>
  </si>
  <si>
    <t>Z07,LED</t>
  </si>
  <si>
    <t>Z09,LED</t>
  </si>
  <si>
    <t>N7238-613-L.JPG</t>
  </si>
  <si>
    <t>N7238</t>
  </si>
  <si>
    <t>N7254-613</t>
  </si>
  <si>
    <t>ÉLÉGANCE ROYALE - 4 LIGHT PENDANT</t>
  </si>
  <si>
    <t>ELEGANCE ROYALE</t>
  </si>
  <si>
    <t>B10.5 ,MED</t>
  </si>
  <si>
    <t>N7254-613.JPG</t>
  </si>
  <si>
    <t>N7254</t>
  </si>
  <si>
    <t>N7255-613</t>
  </si>
  <si>
    <t>SEMI FLUSH</t>
  </si>
  <si>
    <t>ÉLÉGANCE ROYALE - 6 LIGHT SEMI FLUSH</t>
  </si>
  <si>
    <t>T-10,MED</t>
  </si>
  <si>
    <t>N7255-613.JPG</t>
  </si>
  <si>
    <t>N7255</t>
  </si>
  <si>
    <t>N7256-613</t>
  </si>
  <si>
    <t>8 LIGHT FOYER</t>
  </si>
  <si>
    <t>ÉLÉGANCE ROYALE - 8 LIGHT FOYER</t>
  </si>
  <si>
    <t>N7256-613.JPG</t>
  </si>
  <si>
    <t>N7256</t>
  </si>
  <si>
    <t>N7257-613</t>
  </si>
  <si>
    <t>ÉLÉGANCE ROYALE - 8 LIGHT CHANDELIER</t>
  </si>
  <si>
    <t>T-10, MED</t>
  </si>
  <si>
    <t>N7257-613.JPG</t>
  </si>
  <si>
    <t>N7257</t>
  </si>
  <si>
    <t>STAINLESS STEEL+GLASS</t>
  </si>
  <si>
    <t>N7259-613</t>
  </si>
  <si>
    <t>ÉLÉGANCE ROYALE - 20 LIGHT CHANDELIER</t>
  </si>
  <si>
    <t>N7259-613.JPG</t>
  </si>
  <si>
    <t>N7259</t>
  </si>
  <si>
    <t>STAINLESS STEEL+CRYSTAL+STEEL</t>
  </si>
  <si>
    <t>N7302-598</t>
  </si>
  <si>
    <t>SAYBROOK - 4 LIGHT WALL SCONCE</t>
  </si>
  <si>
    <t>XENON G9 (CLEAR)</t>
  </si>
  <si>
    <t>N7302-598.JPG</t>
  </si>
  <si>
    <t>N7302</t>
  </si>
  <si>
    <t>N7304-598</t>
  </si>
  <si>
    <t>4 LIGHT SEMI FLUSH MOUNT</t>
  </si>
  <si>
    <t>SAYBROOK - 4 LIGHT SEMI FLUSH</t>
  </si>
  <si>
    <t>N7304-598.JPG</t>
  </si>
  <si>
    <t>N7304</t>
  </si>
  <si>
    <t>N7307-598</t>
  </si>
  <si>
    <t>SAYBROOK - 7 LIGHT PENDANT</t>
  </si>
  <si>
    <t>N7307-598.JPG</t>
  </si>
  <si>
    <t>N7307</t>
  </si>
  <si>
    <t>N7310-598</t>
  </si>
  <si>
    <t>SAYBROOK - 10 LIGHT PENDANT</t>
  </si>
  <si>
    <t>N7310-598.JPG</t>
  </si>
  <si>
    <t>N7310</t>
  </si>
  <si>
    <t>N7316-598</t>
  </si>
  <si>
    <t>SAYBROOK - 16 LIGHT CHANDELIER</t>
  </si>
  <si>
    <t>N7316-598.JPG</t>
  </si>
  <si>
    <t>N7316</t>
  </si>
  <si>
    <t>4 LIGHT FOYER PENDANT</t>
  </si>
  <si>
    <t>N7420-77-L</t>
  </si>
  <si>
    <t>LED WALL SCONCE</t>
  </si>
  <si>
    <t>CRYSTAL CASCADE - LED WALL SCONCE</t>
  </si>
  <si>
    <t>CRYSTAL CASCADE</t>
  </si>
  <si>
    <t>SILK</t>
  </si>
  <si>
    <t>N7420-77-L.JPG</t>
  </si>
  <si>
    <t>N7420</t>
  </si>
  <si>
    <t>N7425-77-L</t>
  </si>
  <si>
    <t>CRYSTAL CASCADE - LED CHANDELIER</t>
  </si>
  <si>
    <t>LINEN</t>
  </si>
  <si>
    <t>N7425-77-L.JPG</t>
  </si>
  <si>
    <t>N7425</t>
  </si>
  <si>
    <t>N7428-77-L</t>
  </si>
  <si>
    <t>CRYSTAL CASCADE - LED ISLAND</t>
  </si>
  <si>
    <t>Z29,LED</t>
  </si>
  <si>
    <t>N7428-77-L.JPG</t>
  </si>
  <si>
    <t>N7428</t>
  </si>
  <si>
    <t>N7505-77</t>
  </si>
  <si>
    <t>CORONETTE - 6 LIGHT PENDANT</t>
  </si>
  <si>
    <t>W36.5MMxH190MMxT22MM</t>
  </si>
  <si>
    <t>N7505-77.JPG</t>
  </si>
  <si>
    <t>N7505</t>
  </si>
  <si>
    <t>N7506-77</t>
  </si>
  <si>
    <t>CORONETTE - 6 LIGHT ISLAND</t>
  </si>
  <si>
    <t>K9 CRYSTAL*50 PCS</t>
  </si>
  <si>
    <t>CRYSTAL SIZE: W36.5MMxH190MMxT</t>
  </si>
  <si>
    <t>N7506-77.JPG</t>
  </si>
  <si>
    <t>N7508-77</t>
  </si>
  <si>
    <t>CORONETTE - 8 LIGHT PENDANT</t>
  </si>
  <si>
    <t>K9 CRYSTALS</t>
  </si>
  <si>
    <t>N7508-77.JPG</t>
  </si>
  <si>
    <t>N7508</t>
  </si>
  <si>
    <t>N7509-77</t>
  </si>
  <si>
    <t>CORONETTE - 8 LIGHT CHANDELIER</t>
  </si>
  <si>
    <t>N7509-77.JPG</t>
  </si>
  <si>
    <t>N7510-77</t>
  </si>
  <si>
    <t>CORONETTE - 10 LIGHT CHANDELIER</t>
  </si>
  <si>
    <t>K9 CRYSTAL*64PCS</t>
  </si>
  <si>
    <t>N7510-77.JPG</t>
  </si>
  <si>
    <t>N7510</t>
  </si>
  <si>
    <t>N7651-705</t>
  </si>
  <si>
    <t>KINGSMONT - 1 LIGHT PENDANT</t>
  </si>
  <si>
    <t>KINGSMONT</t>
  </si>
  <si>
    <t>T-10, MED.</t>
  </si>
  <si>
    <t>GLITZ GOLD LEAF</t>
  </si>
  <si>
    <t>N7651-705.JPG</t>
  </si>
  <si>
    <t>N7651</t>
  </si>
  <si>
    <t>N7652-705</t>
  </si>
  <si>
    <t>KINGSMONT - 6 LIGHT PENDANT</t>
  </si>
  <si>
    <t>N7652-705.JPG</t>
  </si>
  <si>
    <t>N7652</t>
  </si>
  <si>
    <t>N7653-705</t>
  </si>
  <si>
    <t>KINGSMONT - 3 LIGHT WALL SCONCE</t>
  </si>
  <si>
    <t>T10</t>
  </si>
  <si>
    <t>K9 CLEAR CRYSTAL</t>
  </si>
  <si>
    <t>N7653-705.JPG</t>
  </si>
  <si>
    <t>N7653</t>
  </si>
  <si>
    <t>N7654-705</t>
  </si>
  <si>
    <t>KINGSMONT - 4 LIGHT PENDANT</t>
  </si>
  <si>
    <t>N7654-705.JPG</t>
  </si>
  <si>
    <t>N7654</t>
  </si>
  <si>
    <t>N7655-705</t>
  </si>
  <si>
    <t>10 LIGHT ISLAND</t>
  </si>
  <si>
    <t>KINGSMONT - 10 LIGHT ISLAND</t>
  </si>
  <si>
    <t>B10.5</t>
  </si>
  <si>
    <t>N7655-705.JPG</t>
  </si>
  <si>
    <t>N7655</t>
  </si>
  <si>
    <t>N7656-705</t>
  </si>
  <si>
    <t>N7656-705.JPG</t>
  </si>
  <si>
    <t>N7656</t>
  </si>
  <si>
    <t>N7657-705</t>
  </si>
  <si>
    <t>N7657-705.JPG</t>
  </si>
  <si>
    <t>N7657</t>
  </si>
  <si>
    <t>N7658-705</t>
  </si>
  <si>
    <t>KINGSMONT - 8 LIGHT PENDANT</t>
  </si>
  <si>
    <t>N7658-705.JPG</t>
  </si>
  <si>
    <t>N7658</t>
  </si>
  <si>
    <t>N7659-705</t>
  </si>
  <si>
    <t>KINGSMONT - 10 LIGHT PENDANT</t>
  </si>
  <si>
    <t>N7659-705.JPG</t>
  </si>
  <si>
    <t>N7659</t>
  </si>
  <si>
    <t>HONEY GOLD</t>
  </si>
  <si>
    <t>N7711-700</t>
  </si>
  <si>
    <t>BELLE AURORE - 12 LIGHT PENDANT</t>
  </si>
  <si>
    <t>BELLE AURORE</t>
  </si>
  <si>
    <t>T8</t>
  </si>
  <si>
    <t>SHADOW SILVER LEAF</t>
  </si>
  <si>
    <t>N7711-700.JPG</t>
  </si>
  <si>
    <t>N7711</t>
  </si>
  <si>
    <t>N7712-700</t>
  </si>
  <si>
    <t>N7712-700.JPG</t>
  </si>
  <si>
    <t>N7712</t>
  </si>
  <si>
    <t>N7715-700</t>
  </si>
  <si>
    <t>16 LIGHT ISLAND</t>
  </si>
  <si>
    <t>BELLE AURORE - 16 LIGHT ISLAND</t>
  </si>
  <si>
    <t>N7715-700.JPG</t>
  </si>
  <si>
    <t>N7715</t>
  </si>
  <si>
    <t>N7716-700</t>
  </si>
  <si>
    <t>16 LIGHT PENDANT</t>
  </si>
  <si>
    <t>BELLE AURORE - 16 LIGHT PENDANT</t>
  </si>
  <si>
    <t>N7716-700.JPG</t>
  </si>
  <si>
    <t>N7716</t>
  </si>
  <si>
    <t>STEEL+CYRSTAL</t>
  </si>
  <si>
    <t>N7723-710</t>
  </si>
  <si>
    <t>3 LIGHTT WALL SCONCE</t>
  </si>
  <si>
    <t>RUXTON HALL - 3 LIGHT WALL SCONCE</t>
  </si>
  <si>
    <t>RUXTON HALL</t>
  </si>
  <si>
    <t>SKYLINE GOLD LEAF</t>
  </si>
  <si>
    <t>N7723-710.JPG</t>
  </si>
  <si>
    <t>N7723</t>
  </si>
  <si>
    <t>N7724-710</t>
  </si>
  <si>
    <t>RUXTON HALL - 4 LIGHT PENDANT</t>
  </si>
  <si>
    <t>N7724-710.JPG</t>
  </si>
  <si>
    <t>N7724</t>
  </si>
  <si>
    <t>N7727-710</t>
  </si>
  <si>
    <t>8 LIGHT CONVERTIBLE PENDANT/SEMI FLUSH</t>
  </si>
  <si>
    <t>RUXTON HALL - 8 LIGHTNG SEMI FLUSH (CONVERTIBLE TO PENDANT)</t>
  </si>
  <si>
    <t>N7727-710.JPG</t>
  </si>
  <si>
    <t>N7727</t>
  </si>
  <si>
    <t>N7728-710</t>
  </si>
  <si>
    <t>RUXTON HALL - 8 LIGHT PENDANT</t>
  </si>
  <si>
    <t>N7728-710.JPG</t>
  </si>
  <si>
    <t>N7728</t>
  </si>
  <si>
    <t>BRYNHURST</t>
  </si>
  <si>
    <t>AUTUMN GOLD LEAF</t>
  </si>
  <si>
    <t>N7746-702</t>
  </si>
  <si>
    <t>BRYNHURST - 6 LIGHT PENDANT</t>
  </si>
  <si>
    <t>N7746-702.JPG</t>
  </si>
  <si>
    <t>N7746</t>
  </si>
  <si>
    <t>N7748-702</t>
  </si>
  <si>
    <t>BRYNHURST - 8 LIGHT PENDANT</t>
  </si>
  <si>
    <t>N7748-702.JPG</t>
  </si>
  <si>
    <t>N7748</t>
  </si>
  <si>
    <t>N7763-683</t>
  </si>
  <si>
    <t>BRENTON COVE - 4 LIGHT PENDANT</t>
  </si>
  <si>
    <t>BRENTON COVE</t>
  </si>
  <si>
    <t>GOLD MIST GOLD LEAF</t>
  </si>
  <si>
    <t>CLEAR ACRYLIC</t>
  </si>
  <si>
    <t>N7763-683.JPG</t>
  </si>
  <si>
    <t>N7763</t>
  </si>
  <si>
    <t>STEEL/ACRYLIC</t>
  </si>
  <si>
    <t>N7764-683</t>
  </si>
  <si>
    <t>4 LIGHT CONVERTIBLE SEMI FLUSH/PENDANT</t>
  </si>
  <si>
    <t>BRENTON COVE - 4 LIGHT SEMI FLUSH (CONVERTIBLE TO PENDANT)</t>
  </si>
  <si>
    <t>N7764-683.JPG</t>
  </si>
  <si>
    <t>N7764</t>
  </si>
  <si>
    <t>N7766-683</t>
  </si>
  <si>
    <t>8 LIGHT ISLAND</t>
  </si>
  <si>
    <t>BRENTON COVE - 8 LIGHT ISLAND</t>
  </si>
  <si>
    <t>N7766-683.JPG</t>
  </si>
  <si>
    <t>N7766</t>
  </si>
  <si>
    <t>N7767-683</t>
  </si>
  <si>
    <t>BRENTON COVE - 6 LIGHT PENDANT</t>
  </si>
  <si>
    <t>N7767-683.JPG</t>
  </si>
  <si>
    <t>N7767</t>
  </si>
  <si>
    <t>N7768-683</t>
  </si>
  <si>
    <t>BRENTON COVE - 8 LIGHT PENDANT</t>
  </si>
  <si>
    <t>N7768-683.JPG</t>
  </si>
  <si>
    <t>N7768</t>
  </si>
  <si>
    <t>N7781-248-L</t>
  </si>
  <si>
    <t>BLAIRMOOR - LED WALL SCONCE</t>
  </si>
  <si>
    <t>BLAIRMMOR</t>
  </si>
  <si>
    <t>Z04 LED</t>
  </si>
  <si>
    <t>SILK-LIKE WHITE SHADE/ETCHED WHITE DIFFUSEER</t>
  </si>
  <si>
    <t>N7781-248-L.JPG</t>
  </si>
  <si>
    <t>N7781-L</t>
  </si>
  <si>
    <t>STEEL+FABRIC+GLASS</t>
  </si>
  <si>
    <t>N7784-248</t>
  </si>
  <si>
    <t>BLAIRMOOR - 4 LIGHT PENDANT</t>
  </si>
  <si>
    <t>N7784-248.JPG</t>
  </si>
  <si>
    <t>N7784</t>
  </si>
  <si>
    <t>N7785-248</t>
  </si>
  <si>
    <t>BLAIRMOOR</t>
  </si>
  <si>
    <t>N7785-248.JPG</t>
  </si>
  <si>
    <t>N7785</t>
  </si>
  <si>
    <t>N7786-248</t>
  </si>
  <si>
    <t>BLAIRMOOR - 6 LIGHT PENDANT</t>
  </si>
  <si>
    <t>N7786-248.JPG</t>
  </si>
  <si>
    <t>N7786</t>
  </si>
  <si>
    <t>N7787-248</t>
  </si>
  <si>
    <t>BLAIRMOOR - 8 LIGHT PENDANT</t>
  </si>
  <si>
    <t>N7787-248.JPG</t>
  </si>
  <si>
    <t>N7787</t>
  </si>
  <si>
    <t>N7788-248</t>
  </si>
  <si>
    <t>N7788-248.JPG</t>
  </si>
  <si>
    <t>N7788</t>
  </si>
  <si>
    <t>N7789-248</t>
  </si>
  <si>
    <t>N7789-248.JPG</t>
  </si>
  <si>
    <t>N7789</t>
  </si>
  <si>
    <t>N7801-613</t>
  </si>
  <si>
    <t>GLIMRENDE - 1 LIGHT PENDANT</t>
  </si>
  <si>
    <t>GLIMRENDE</t>
  </si>
  <si>
    <t>ETCHED OPAL GLASS</t>
  </si>
  <si>
    <t>N7801-613.JPG</t>
  </si>
  <si>
    <t>N7801</t>
  </si>
  <si>
    <t>N7803-613</t>
  </si>
  <si>
    <t>GLIMRENDE - 3 LIGHT CHANDELIER</t>
  </si>
  <si>
    <t>N7803-613.JPG</t>
  </si>
  <si>
    <t>N7803</t>
  </si>
  <si>
    <t>N7804-613</t>
  </si>
  <si>
    <t>GLIMRENDE - 4 LIGHT PENDANT</t>
  </si>
  <si>
    <t>N7804-613.JPG</t>
  </si>
  <si>
    <t>N7804</t>
  </si>
  <si>
    <t>N7806-613</t>
  </si>
  <si>
    <t>GLIMRENDE - 6 LIGHT CHANDELIER</t>
  </si>
  <si>
    <t>N7806-613.JPG</t>
  </si>
  <si>
    <t>N7806</t>
  </si>
  <si>
    <t>N7808-613</t>
  </si>
  <si>
    <t>GLIMRENDE - 8 LIGHT CHANDELIER</t>
  </si>
  <si>
    <t>N7808-613.JPG</t>
  </si>
  <si>
    <t>N7808</t>
  </si>
  <si>
    <t>N7827-613</t>
  </si>
  <si>
    <t>7 LIGHT CHANDELIER</t>
  </si>
  <si>
    <t>TONNACOUR - 7 LIGHT CHANDELIER</t>
  </si>
  <si>
    <t>TONNACOUR</t>
  </si>
  <si>
    <t>CLEAR (SAMPLE)/SEEDY GLASS BAR</t>
  </si>
  <si>
    <t>N7827-613.JPG</t>
  </si>
  <si>
    <t>N7827</t>
  </si>
  <si>
    <t>N7828-613</t>
  </si>
  <si>
    <t>TONNACOUR - 12 LIGHT CHANDELIER</t>
  </si>
  <si>
    <t>N7828-613.JPG</t>
  </si>
  <si>
    <t>N7828</t>
  </si>
  <si>
    <t>N7829-613</t>
  </si>
  <si>
    <t>TONNACOUR - 9 LIGHT CHANDELIER</t>
  </si>
  <si>
    <t>CLEAR/SEEDY GLASS BAR</t>
  </si>
  <si>
    <t>N7829-613.JPG</t>
  </si>
  <si>
    <t>N7829</t>
  </si>
  <si>
    <t>N7834-659</t>
  </si>
  <si>
    <t>MANITOU - 4 LIGHT MINI PENDANT</t>
  </si>
  <si>
    <t>MANITOU</t>
  </si>
  <si>
    <t>ARDOR GOLD</t>
  </si>
  <si>
    <t>N7834-659.JPG</t>
  </si>
  <si>
    <t>N7834</t>
  </si>
  <si>
    <t>N7835-659</t>
  </si>
  <si>
    <t>FIVE LIGHT SEMI FLUSH</t>
  </si>
  <si>
    <t>MANITOU - 5 LIGHT SEMI FLUSH</t>
  </si>
  <si>
    <t>N7835-659.JPG</t>
  </si>
  <si>
    <t>N7835</t>
  </si>
  <si>
    <t>N7836-659</t>
  </si>
  <si>
    <t>SIX LIGHT PENDANT</t>
  </si>
  <si>
    <t>MANITOU - 6 LIGHT PENDANT</t>
  </si>
  <si>
    <t>N7836-659.JPG</t>
  </si>
  <si>
    <t>N7836</t>
  </si>
  <si>
    <t>N7837-659</t>
  </si>
  <si>
    <t>SIX LIGHT CHANDELIER</t>
  </si>
  <si>
    <t>MANITOU - 6 LIGHT CHANDELIER</t>
  </si>
  <si>
    <t>N7837-659.JPG</t>
  </si>
  <si>
    <t>N7837</t>
  </si>
  <si>
    <t>N7838-659</t>
  </si>
  <si>
    <t>MANITOU - 8 LIGHT PENDANT</t>
  </si>
  <si>
    <t>N7838-659.JPG</t>
  </si>
  <si>
    <t>N7838</t>
  </si>
  <si>
    <t>N7839-659</t>
  </si>
  <si>
    <t>MANITOU - 8 LIGHT CHANDELIER</t>
  </si>
  <si>
    <t>N7839-659.JPG</t>
  </si>
  <si>
    <t>N7839</t>
  </si>
  <si>
    <t>N7851-707</t>
  </si>
  <si>
    <t>SABLE POINT - 3 LIGHT BATH BAR</t>
  </si>
  <si>
    <t>SABLE POINT</t>
  </si>
  <si>
    <t>SAND BLACK WITH HONEY GOLD ACC</t>
  </si>
  <si>
    <t>CLEAR GLASS</t>
  </si>
  <si>
    <t>N7851-707.JPG</t>
  </si>
  <si>
    <t>N7851</t>
  </si>
  <si>
    <t>N7852-707</t>
  </si>
  <si>
    <t>SABLE POINT - 2 LIGHT WALL SCONCE</t>
  </si>
  <si>
    <t>N7852-707.JPG</t>
  </si>
  <si>
    <t>N7852</t>
  </si>
  <si>
    <t>N7853-707</t>
  </si>
  <si>
    <t>SABLE POINT - 4 LIGHT SEMI FLUSH</t>
  </si>
  <si>
    <t>N7853-707.JPG</t>
  </si>
  <si>
    <t>N7853</t>
  </si>
  <si>
    <t>steel</t>
  </si>
  <si>
    <t>N7854-707</t>
  </si>
  <si>
    <t>SABLE POINT - 4 LIGHT PENDANT</t>
  </si>
  <si>
    <t>N7854-707.JPG</t>
  </si>
  <si>
    <t>N7854</t>
  </si>
  <si>
    <t>N7855-707</t>
  </si>
  <si>
    <t>SABLE POINT - 12 LIGHT PENDANT</t>
  </si>
  <si>
    <t>N7855-707.JPG</t>
  </si>
  <si>
    <t>N7855</t>
  </si>
  <si>
    <t>N7856-707</t>
  </si>
  <si>
    <t>N7856-707.JPG</t>
  </si>
  <si>
    <t>N7856</t>
  </si>
  <si>
    <t>N7858-707</t>
  </si>
  <si>
    <t>SABLE POINT - 8 LIGHT PENDANT</t>
  </si>
  <si>
    <t>N7858-707.JPG</t>
  </si>
  <si>
    <t>N7858</t>
  </si>
  <si>
    <t>N7859-707</t>
  </si>
  <si>
    <t>N7859-707.JPG</t>
  </si>
  <si>
    <t>N7859</t>
  </si>
  <si>
    <t>N8008</t>
  </si>
  <si>
    <t>VINTAGE - 12 LIGHT CHANDELIER</t>
  </si>
  <si>
    <t>N8008.JPG</t>
  </si>
  <si>
    <t>STEEL/GLASS CRYSTAL</t>
  </si>
  <si>
    <t>N8009</t>
  </si>
  <si>
    <t>VINTAGE - 20 LIGHT CHANDELIER</t>
  </si>
  <si>
    <t>N8009.JPG</t>
  </si>
  <si>
    <t>STEEL/GLASS/CRYSTAL</t>
  </si>
  <si>
    <t>N801901</t>
  </si>
  <si>
    <t>Frosted Etched</t>
  </si>
  <si>
    <t>N801901.JPG</t>
  </si>
  <si>
    <t>Brass + Glass</t>
  </si>
  <si>
    <t>N801906</t>
  </si>
  <si>
    <t>N801906.JPG</t>
  </si>
  <si>
    <t>N801908</t>
  </si>
  <si>
    <t>N801908.JPG</t>
  </si>
  <si>
    <t>N820-BZ</t>
  </si>
  <si>
    <t>VINTAGE - 5 LIGHT WALL SCONCE</t>
  </si>
  <si>
    <t>N820-BZ.JPG</t>
  </si>
  <si>
    <t>N820</t>
  </si>
  <si>
    <t>Metal + Crystal</t>
  </si>
  <si>
    <t>N850204</t>
  </si>
  <si>
    <t>VINTAGE - 4 LIGHT CHANDELIER</t>
  </si>
  <si>
    <t>N850204.JPG</t>
  </si>
  <si>
    <t>N850209</t>
  </si>
  <si>
    <t>N850209.JPG</t>
  </si>
  <si>
    <t>N850220</t>
  </si>
  <si>
    <t>N850220.JPG</t>
  </si>
  <si>
    <t>N850704</t>
  </si>
  <si>
    <t>N850704.JPG</t>
  </si>
  <si>
    <t>N850804</t>
  </si>
  <si>
    <t>N850804.JPG</t>
  </si>
  <si>
    <t>N850906</t>
  </si>
  <si>
    <t>B, Candelabra</t>
  </si>
  <si>
    <t>N850906.JPG</t>
  </si>
  <si>
    <t>N850909</t>
  </si>
  <si>
    <t>N850909.JPG</t>
  </si>
  <si>
    <t>N851204-OXB</t>
  </si>
  <si>
    <t>4 LIGHT FOYER</t>
  </si>
  <si>
    <t>N851204-OXB.JPG</t>
  </si>
  <si>
    <t>N851204</t>
  </si>
  <si>
    <t>N9067</t>
  </si>
  <si>
    <t>Bohemian</t>
  </si>
  <si>
    <t>N9067.JPG</t>
  </si>
  <si>
    <t>N9102</t>
  </si>
  <si>
    <t>T-4 Candelabra</t>
  </si>
  <si>
    <t>GLORIOUS GOLD W/BLACK ACCENTS</t>
  </si>
  <si>
    <t>N9102.JPG</t>
  </si>
  <si>
    <t>N9109</t>
  </si>
  <si>
    <t>GLORIOUS GOLD</t>
  </si>
  <si>
    <t>N9109.JPG</t>
  </si>
  <si>
    <t>N9162</t>
  </si>
  <si>
    <t>N9162.JPG</t>
  </si>
  <si>
    <t>N9166</t>
  </si>
  <si>
    <t>N9166.JPG</t>
  </si>
  <si>
    <t>N9168</t>
  </si>
  <si>
    <t>N9168.JPG</t>
  </si>
  <si>
    <t>N9169</t>
  </si>
  <si>
    <t>N9169.JPG</t>
  </si>
  <si>
    <t>N9176</t>
  </si>
  <si>
    <t>N9176.JPG</t>
  </si>
  <si>
    <t>N9182</t>
  </si>
  <si>
    <t>N9182.JPG</t>
  </si>
  <si>
    <t>N9183</t>
  </si>
  <si>
    <t>N9183.JPG</t>
  </si>
  <si>
    <t>N9186</t>
  </si>
  <si>
    <t>N9186.JPG</t>
  </si>
  <si>
    <t>N9188</t>
  </si>
  <si>
    <t>N9188.JPG</t>
  </si>
  <si>
    <t>N9189</t>
  </si>
  <si>
    <t>32 LIGHT CHANDELIER</t>
  </si>
  <si>
    <t>N9189.JPG</t>
  </si>
  <si>
    <t>N9199</t>
  </si>
  <si>
    <t>N9199.JPG</t>
  </si>
  <si>
    <t>N9200</t>
  </si>
  <si>
    <t>N9200.JPG</t>
  </si>
  <si>
    <t>N9201</t>
  </si>
  <si>
    <t>9 LIGHT FOYER</t>
  </si>
  <si>
    <t>N9201.JPG</t>
  </si>
  <si>
    <t>N9203</t>
  </si>
  <si>
    <t>10 LIGHT FOYER PENDANT</t>
  </si>
  <si>
    <t>N9203.JPG</t>
  </si>
  <si>
    <t>N9204</t>
  </si>
  <si>
    <t>VINTAGE - 12 LIGHT FOYER PENDANT</t>
  </si>
  <si>
    <t>Chandelier</t>
  </si>
  <si>
    <t>Oxide Brass</t>
  </si>
  <si>
    <t>N9204.JPG</t>
  </si>
  <si>
    <t>N9213</t>
  </si>
  <si>
    <t>N9213.JPG</t>
  </si>
  <si>
    <t>N9300</t>
  </si>
  <si>
    <t>THREE LIGHT WALL SCONCE</t>
  </si>
  <si>
    <t>N9300.JPG</t>
  </si>
  <si>
    <t>N9306</t>
  </si>
  <si>
    <t>N9306.JPG</t>
  </si>
  <si>
    <t>N950040</t>
  </si>
  <si>
    <t>VINTAGE - 24 LIGHT CHANDELIER</t>
  </si>
  <si>
    <t>Bohemian/30% Lead</t>
  </si>
  <si>
    <t>N950040.JPG</t>
  </si>
  <si>
    <t>N950080</t>
  </si>
  <si>
    <t>2 TIER CHANDELIER</t>
  </si>
  <si>
    <t>25 LIGHT 2 TIER CHANDELIER</t>
  </si>
  <si>
    <t>B10.5, CANDELABRA</t>
  </si>
  <si>
    <t>N950080.JPG</t>
  </si>
  <si>
    <t>N950081</t>
  </si>
  <si>
    <t>N950081.JPG</t>
  </si>
  <si>
    <t>N950083</t>
  </si>
  <si>
    <t>N950083.JPG</t>
  </si>
  <si>
    <t>N950093</t>
  </si>
  <si>
    <t>N950093.JPG</t>
  </si>
  <si>
    <t>N950094</t>
  </si>
  <si>
    <t>N950094.JPG</t>
  </si>
  <si>
    <t>N950115</t>
  </si>
  <si>
    <t>N950115.JPG</t>
  </si>
  <si>
    <t>N950158</t>
  </si>
  <si>
    <t>N950158.JPG</t>
  </si>
  <si>
    <t>N950166</t>
  </si>
  <si>
    <t>N950166.JPG</t>
  </si>
  <si>
    <t>Steel + Alabaster</t>
  </si>
  <si>
    <t>N950200</t>
  </si>
  <si>
    <t>N950200.JPG</t>
  </si>
  <si>
    <t>N950201</t>
  </si>
  <si>
    <t>N950201.JPG</t>
  </si>
  <si>
    <t>N950334-54B</t>
  </si>
  <si>
    <t>PLATINUM</t>
  </si>
  <si>
    <t>N950334-54B.JPG</t>
  </si>
  <si>
    <t>N950334</t>
  </si>
  <si>
    <t>N950386</t>
  </si>
  <si>
    <t>N950386.JPG</t>
  </si>
  <si>
    <t>N950386-54B</t>
  </si>
  <si>
    <t>N950386-54B.JPG</t>
  </si>
  <si>
    <t>N950397</t>
  </si>
  <si>
    <t>SUNSET GOLD</t>
  </si>
  <si>
    <t>N950397.JPG</t>
  </si>
  <si>
    <t>N950398</t>
  </si>
  <si>
    <t>N950398.JPG</t>
  </si>
  <si>
    <t>N950443</t>
  </si>
  <si>
    <t>N950443.JPG</t>
  </si>
  <si>
    <t>N950492</t>
  </si>
  <si>
    <t>CLEAR W/SWIRL</t>
  </si>
  <si>
    <t>N950492.JPG</t>
  </si>
  <si>
    <t>N950495-54B</t>
  </si>
  <si>
    <t>6 LIGHT SEMI FLUSH</t>
  </si>
  <si>
    <t>N950495-54B.JPG</t>
  </si>
  <si>
    <t>N950495</t>
  </si>
  <si>
    <t>N950496</t>
  </si>
  <si>
    <t>N950496.JPG</t>
  </si>
  <si>
    <t>N950496-54B</t>
  </si>
  <si>
    <t>N950496-54B.JPG</t>
  </si>
  <si>
    <t>N950648</t>
  </si>
  <si>
    <t>BI-PIN</t>
  </si>
  <si>
    <t>GOLD</t>
  </si>
  <si>
    <t>N950648.JPG</t>
  </si>
  <si>
    <t>N950730</t>
  </si>
  <si>
    <t xml:space="preserve"> GOLD</t>
  </si>
  <si>
    <t>N950730.JPG</t>
  </si>
  <si>
    <t>N950767</t>
  </si>
  <si>
    <t>N950767.JPG</t>
  </si>
  <si>
    <t>N950949</t>
  </si>
  <si>
    <t>11 LIGHT CHANDELIER</t>
  </si>
  <si>
    <t>N950949.JPG</t>
  </si>
  <si>
    <t>N952009</t>
  </si>
  <si>
    <t>N952009.JPG</t>
  </si>
  <si>
    <t>N952010</t>
  </si>
  <si>
    <t>N952010.JPG</t>
  </si>
  <si>
    <t>N952011</t>
  </si>
  <si>
    <t>Clear Beveled</t>
  </si>
  <si>
    <t>N952011.JPG</t>
  </si>
  <si>
    <t>Steel + Clear Glass</t>
  </si>
  <si>
    <t>N952012</t>
  </si>
  <si>
    <t>N952012.JPG</t>
  </si>
  <si>
    <t>N952013</t>
  </si>
  <si>
    <t>STAINED GOLD</t>
  </si>
  <si>
    <t>N952013.JPG</t>
  </si>
  <si>
    <t>N952115</t>
  </si>
  <si>
    <t>N952115.JPG</t>
  </si>
  <si>
    <t>N9601</t>
  </si>
  <si>
    <t>N9601.JPG</t>
  </si>
  <si>
    <t>N9602</t>
  </si>
  <si>
    <t>N9602.JPG</t>
  </si>
  <si>
    <t>N9603</t>
  </si>
  <si>
    <t>N9603.JPG</t>
  </si>
  <si>
    <t>N9650</t>
  </si>
  <si>
    <t>Candekabra</t>
  </si>
  <si>
    <t>HEIRLOOM GOLD</t>
  </si>
  <si>
    <t>N9650.JPG</t>
  </si>
  <si>
    <t>N9672</t>
  </si>
  <si>
    <t>N9672.JPG</t>
  </si>
  <si>
    <t>N9673-L</t>
  </si>
  <si>
    <t>N9673-L.JPG</t>
  </si>
  <si>
    <t>N9673</t>
  </si>
  <si>
    <t>N9673-R</t>
  </si>
  <si>
    <t>N9673-R.JPG</t>
  </si>
  <si>
    <t>N9681A</t>
  </si>
  <si>
    <t>N9681A.JPG</t>
  </si>
  <si>
    <t>N9681B</t>
  </si>
  <si>
    <t>N9681B.JPG</t>
  </si>
  <si>
    <t>N9700</t>
  </si>
  <si>
    <t>N9700.JPG</t>
  </si>
  <si>
    <t>N9701</t>
  </si>
  <si>
    <t>30% LEAD CRYSTAL</t>
  </si>
  <si>
    <t>N9701.JPG</t>
  </si>
  <si>
    <t>N9773</t>
  </si>
  <si>
    <t>N9773.JPG</t>
  </si>
  <si>
    <t>N9789</t>
  </si>
  <si>
    <t>N9789.JPG</t>
  </si>
  <si>
    <t>N9800</t>
  </si>
  <si>
    <t>RENAISSANCE GOLD</t>
  </si>
  <si>
    <t>N9800.JPG</t>
  </si>
  <si>
    <t>N9802</t>
  </si>
  <si>
    <t>N9802.JPG</t>
  </si>
  <si>
    <t>N9803</t>
  </si>
  <si>
    <t>N9803.JPG</t>
  </si>
  <si>
    <t>N9805-OXB</t>
  </si>
  <si>
    <t>N9805-OXB.JPG</t>
  </si>
  <si>
    <t>N9805</t>
  </si>
  <si>
    <t>N9805-PC</t>
  </si>
  <si>
    <t>POLISHED CHROME</t>
  </si>
  <si>
    <t>N9805-PC.JPG</t>
  </si>
  <si>
    <t>N9808-FG</t>
  </si>
  <si>
    <t>N9808-FG.JPG</t>
  </si>
  <si>
    <t>N9808</t>
  </si>
  <si>
    <t>N9809-FG</t>
  </si>
  <si>
    <t>N9809-FG.JPG</t>
  </si>
  <si>
    <t>N9809</t>
  </si>
  <si>
    <t>N9809-PC</t>
  </si>
  <si>
    <t>N9809-PC.JPG</t>
  </si>
  <si>
    <t>N9812</t>
  </si>
  <si>
    <t>N9812.JPG</t>
  </si>
  <si>
    <t>N9813-2</t>
  </si>
  <si>
    <t>N9813-2.JPG</t>
  </si>
  <si>
    <t>N9813</t>
  </si>
  <si>
    <t>N9813-3</t>
  </si>
  <si>
    <t>N9813-3.JPG</t>
  </si>
  <si>
    <t>RSE1117</t>
  </si>
  <si>
    <t>CYLINDER FABRIC SHADE</t>
  </si>
  <si>
    <t>REPLACEMENT SHADE FOR N12382-0</t>
  </si>
  <si>
    <t>RSE1117.JPG</t>
  </si>
  <si>
    <t>SH1929</t>
  </si>
  <si>
    <t>REPLACEMENT SHADE</t>
  </si>
  <si>
    <t>SHADE</t>
  </si>
  <si>
    <t>SH1929.JPG</t>
  </si>
  <si>
    <t>Pure Silk</t>
  </si>
  <si>
    <t>SH1949</t>
  </si>
  <si>
    <t>SH1949.JPG</t>
  </si>
  <si>
    <t>Silk</t>
  </si>
  <si>
    <t>Metropolitan Distributor Net/UMAP Price List - Effective May 01,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</si>
</sst>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15" fontId="0" fillId="0" borderId="0" xfId="0" applyNumberFormat="1"/>
    <xf numFmtId="14" fontId="0" fillId="0" borderId="0" xfId="0" applyNumberFormat="1"/>
    <xf numFmtId="0" fontId="16" fillId="0" borderId="0" xfId="0" applyFont="1"/>
    <xf numFmtId="44" fontId="0" fillId="0" borderId="0" xfId="1" applyFont="1"/>
    <xf numFmtId="0" fontId="18" fillId="33" borderId="0" xfId="0" applyFont="1" applyFill="1"/>
    <xf numFmtId="0" fontId="0" fillId="33" borderId="0" xfId="0" applyFill="1"/>
    <xf numFmtId="0" fontId="16" fillId="33" borderId="0" xfId="0" applyFont="1" applyFill="1"/>
    <xf numFmtId="44" fontId="16" fillId="33" borderId="0" xfId="1" applyFont="1" applyFill="1"/>
    <xf numFmtId="44" fontId="0" fillId="33" borderId="0" xfId="1" applyFont="1" applyFill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49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RowHeight="15" x14ac:dyDescent="0.25"/>
  <cols>
    <col min="1" max="2" width="13.140625" bestFit="1" customWidth="1"/>
    <col min="3" max="3" width="47.7109375" bestFit="1" customWidth="1"/>
    <col min="4" max="4" width="62.85546875" bestFit="1" customWidth="1"/>
    <col min="5" max="5" width="22.42578125" bestFit="1" customWidth="1"/>
    <col min="6" max="6" width="28" bestFit="1" customWidth="1"/>
    <col min="7" max="7" width="14.5703125" bestFit="1" customWidth="1"/>
    <col min="8" max="8" width="15.42578125" bestFit="1" customWidth="1"/>
    <col min="9" max="9" width="11.28515625" bestFit="1" customWidth="1"/>
    <col min="10" max="10" width="17" style="4" bestFit="1" customWidth="1"/>
    <col min="11" max="11" width="12.42578125" style="4" bestFit="1" customWidth="1"/>
    <col min="12" max="12" width="9.5703125" bestFit="1" customWidth="1"/>
    <col min="13" max="13" width="5.85546875" bestFit="1" customWidth="1"/>
    <col min="14" max="14" width="10.7109375" bestFit="1" customWidth="1"/>
    <col min="15" max="15" width="6.7109375" bestFit="1" customWidth="1"/>
    <col min="16" max="16" width="13.140625" style="4" bestFit="1" customWidth="1"/>
    <col min="17" max="17" width="8" style="4" bestFit="1" customWidth="1"/>
    <col min="18" max="18" width="12.85546875" style="4" bestFit="1" customWidth="1"/>
    <col min="19" max="19" width="6.85546875" bestFit="1" customWidth="1"/>
    <col min="20" max="20" width="7" bestFit="1" customWidth="1"/>
    <col min="21" max="21" width="6.5703125" bestFit="1" customWidth="1"/>
    <col min="22" max="22" width="8" bestFit="1" customWidth="1"/>
    <col min="23" max="23" width="7.5703125" bestFit="1" customWidth="1"/>
    <col min="24" max="24" width="15.5703125" bestFit="1" customWidth="1"/>
    <col min="25" max="25" width="13.28515625" bestFit="1" customWidth="1"/>
    <col min="26" max="26" width="13.42578125" bestFit="1" customWidth="1"/>
    <col min="27" max="27" width="12.85546875" bestFit="1" customWidth="1"/>
    <col min="28" max="28" width="16.7109375" bestFit="1" customWidth="1"/>
    <col min="29" max="29" width="13.140625" bestFit="1" customWidth="1"/>
    <col min="30" max="30" width="7.85546875" bestFit="1" customWidth="1"/>
    <col min="31" max="31" width="16" bestFit="1" customWidth="1"/>
    <col min="32" max="32" width="21" bestFit="1" customWidth="1"/>
    <col min="33" max="33" width="12.85546875" bestFit="1" customWidth="1"/>
    <col min="34" max="34" width="17" bestFit="1" customWidth="1"/>
    <col min="35" max="35" width="18.85546875" bestFit="1" customWidth="1"/>
    <col min="36" max="36" width="14.5703125" bestFit="1" customWidth="1"/>
    <col min="37" max="37" width="13.28515625" bestFit="1" customWidth="1"/>
    <col min="38" max="38" width="15.7109375" bestFit="1" customWidth="1"/>
    <col min="39" max="39" width="4.42578125" bestFit="1" customWidth="1"/>
    <col min="40" max="40" width="3.85546875" bestFit="1" customWidth="1"/>
    <col min="41" max="41" width="3.28515625" bestFit="1" customWidth="1"/>
    <col min="42" max="42" width="11.5703125" bestFit="1" customWidth="1"/>
    <col min="43" max="43" width="6.42578125" bestFit="1" customWidth="1"/>
    <col min="44" max="44" width="11" bestFit="1" customWidth="1"/>
    <col min="45" max="45" width="19.5703125" bestFit="1" customWidth="1"/>
    <col min="46" max="46" width="8" bestFit="1" customWidth="1"/>
    <col min="47" max="47" width="14.5703125" bestFit="1" customWidth="1"/>
    <col min="48" max="48" width="10.85546875" bestFit="1" customWidth="1"/>
    <col min="49" max="49" width="8.85546875" bestFit="1" customWidth="1"/>
    <col min="50" max="50" width="51.7109375" bestFit="1" customWidth="1"/>
    <col min="51" max="51" width="15.5703125" bestFit="1" customWidth="1"/>
    <col min="52" max="52" width="16" bestFit="1" customWidth="1"/>
    <col min="53" max="53" width="13.85546875" bestFit="1" customWidth="1"/>
    <col min="54" max="54" width="18" bestFit="1" customWidth="1"/>
    <col min="55" max="55" width="45.85546875" bestFit="1" customWidth="1"/>
    <col min="56" max="56" width="33.85546875" bestFit="1" customWidth="1"/>
    <col min="57" max="57" width="15.7109375" bestFit="1" customWidth="1"/>
    <col min="58" max="58" width="16.85546875" bestFit="1" customWidth="1"/>
    <col min="59" max="59" width="8.42578125" bestFit="1" customWidth="1"/>
    <col min="60" max="60" width="4.85546875" bestFit="1" customWidth="1"/>
    <col min="61" max="61" width="7.42578125" bestFit="1" customWidth="1"/>
    <col min="62" max="62" width="14.28515625" bestFit="1" customWidth="1"/>
    <col min="63" max="63" width="20.5703125" bestFit="1" customWidth="1"/>
    <col min="64" max="64" width="14.28515625" bestFit="1" customWidth="1"/>
    <col min="65" max="65" width="15.7109375" bestFit="1" customWidth="1"/>
    <col min="66" max="66" width="16" bestFit="1" customWidth="1"/>
    <col min="67" max="67" width="18.5703125" bestFit="1" customWidth="1"/>
    <col min="68" max="68" width="16.140625" bestFit="1" customWidth="1"/>
    <col min="69" max="69" width="21.7109375" bestFit="1" customWidth="1"/>
    <col min="70" max="70" width="19.140625" bestFit="1" customWidth="1"/>
    <col min="71" max="71" width="19.28515625" bestFit="1" customWidth="1"/>
    <col min="72" max="72" width="18.85546875" bestFit="1" customWidth="1"/>
    <col min="73" max="74" width="17.28515625" bestFit="1" customWidth="1"/>
    <col min="75" max="75" width="15.28515625" bestFit="1" customWidth="1"/>
    <col min="76" max="76" width="10.85546875" bestFit="1" customWidth="1"/>
    <col min="77" max="77" width="16.42578125" bestFit="1" customWidth="1"/>
    <col min="78" max="78" width="11.7109375" bestFit="1" customWidth="1"/>
    <col min="79" max="79" width="19.140625" bestFit="1" customWidth="1"/>
    <col min="80" max="80" width="51.7109375" bestFit="1" customWidth="1"/>
    <col min="81" max="81" width="4.5703125" bestFit="1" customWidth="1"/>
    <col min="82" max="82" width="5.7109375" bestFit="1" customWidth="1"/>
    <col min="83" max="83" width="5.85546875" bestFit="1" customWidth="1"/>
    <col min="84" max="84" width="10.140625" bestFit="1" customWidth="1"/>
    <col min="85" max="85" width="11.140625" bestFit="1" customWidth="1"/>
    <col min="86" max="86" width="3.140625" bestFit="1" customWidth="1"/>
    <col min="87" max="87" width="13.5703125" bestFit="1" customWidth="1"/>
    <col min="88" max="88" width="17.28515625" bestFit="1" customWidth="1"/>
    <col min="89" max="89" width="15.5703125" bestFit="1" customWidth="1"/>
    <col min="90" max="90" width="10.140625" bestFit="1" customWidth="1"/>
    <col min="91" max="91" width="6" bestFit="1" customWidth="1"/>
    <col min="92" max="92" width="32.28515625" bestFit="1" customWidth="1"/>
    <col min="93" max="93" width="10.7109375" bestFit="1" customWidth="1"/>
    <col min="94" max="94" width="11.42578125" bestFit="1" customWidth="1"/>
  </cols>
  <sheetData>
    <row r="1" spans="1:94" ht="18.75" x14ac:dyDescent="0.3">
      <c r="A1" s="5" t="s">
        <v>2255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9"/>
      <c r="R1" s="9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</row>
    <row r="2" spans="1:94" s="3" customFormat="1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8" t="s">
        <v>9</v>
      </c>
      <c r="K2" s="8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8" t="s">
        <v>15</v>
      </c>
      <c r="Q2" s="8" t="s">
        <v>16</v>
      </c>
      <c r="R2" s="8" t="s">
        <v>17</v>
      </c>
      <c r="S2" s="7" t="s">
        <v>18</v>
      </c>
      <c r="T2" s="7" t="s">
        <v>19</v>
      </c>
      <c r="U2" s="7" t="s">
        <v>20</v>
      </c>
      <c r="V2" s="7" t="s">
        <v>21</v>
      </c>
      <c r="W2" s="7" t="s">
        <v>22</v>
      </c>
      <c r="X2" s="7" t="s">
        <v>23</v>
      </c>
      <c r="Y2" s="7" t="s">
        <v>24</v>
      </c>
      <c r="Z2" s="7" t="s">
        <v>25</v>
      </c>
      <c r="AA2" s="7" t="s">
        <v>26</v>
      </c>
      <c r="AB2" s="7" t="s">
        <v>27</v>
      </c>
      <c r="AC2" s="7" t="s">
        <v>28</v>
      </c>
      <c r="AD2" s="7" t="s">
        <v>29</v>
      </c>
      <c r="AE2" s="7" t="s">
        <v>30</v>
      </c>
      <c r="AF2" s="7" t="s">
        <v>31</v>
      </c>
      <c r="AG2" s="7" t="s">
        <v>32</v>
      </c>
      <c r="AH2" s="7" t="s">
        <v>33</v>
      </c>
      <c r="AI2" s="7" t="s">
        <v>34</v>
      </c>
      <c r="AJ2" s="7" t="s">
        <v>35</v>
      </c>
      <c r="AK2" s="7" t="s">
        <v>36</v>
      </c>
      <c r="AL2" s="7" t="s">
        <v>37</v>
      </c>
      <c r="AM2" s="7" t="s">
        <v>38</v>
      </c>
      <c r="AN2" s="7" t="s">
        <v>39</v>
      </c>
      <c r="AO2" s="7" t="s">
        <v>40</v>
      </c>
      <c r="AP2" s="7" t="s">
        <v>41</v>
      </c>
      <c r="AQ2" s="7" t="s">
        <v>42</v>
      </c>
      <c r="AR2" s="7" t="s">
        <v>43</v>
      </c>
      <c r="AS2" s="7" t="s">
        <v>44</v>
      </c>
      <c r="AT2" s="7" t="s">
        <v>45</v>
      </c>
      <c r="AU2" s="7" t="s">
        <v>46</v>
      </c>
      <c r="AV2" s="7" t="s">
        <v>47</v>
      </c>
      <c r="AW2" s="7" t="s">
        <v>48</v>
      </c>
      <c r="AX2" s="7" t="s">
        <v>49</v>
      </c>
      <c r="AY2" s="7" t="s">
        <v>50</v>
      </c>
      <c r="AZ2" s="7" t="s">
        <v>51</v>
      </c>
      <c r="BA2" s="7" t="s">
        <v>52</v>
      </c>
      <c r="BB2" s="7" t="s">
        <v>53</v>
      </c>
      <c r="BC2" s="7" t="s">
        <v>54</v>
      </c>
      <c r="BD2" s="7" t="s">
        <v>55</v>
      </c>
      <c r="BE2" s="7" t="s">
        <v>56</v>
      </c>
      <c r="BF2" s="7" t="s">
        <v>57</v>
      </c>
      <c r="BG2" s="7" t="s">
        <v>58</v>
      </c>
      <c r="BH2" s="7" t="s">
        <v>59</v>
      </c>
      <c r="BI2" s="7" t="s">
        <v>60</v>
      </c>
      <c r="BJ2" s="7" t="s">
        <v>61</v>
      </c>
      <c r="BK2" s="7" t="s">
        <v>62</v>
      </c>
      <c r="BL2" s="7" t="s">
        <v>63</v>
      </c>
      <c r="BM2" s="7" t="s">
        <v>64</v>
      </c>
      <c r="BN2" s="7" t="s">
        <v>65</v>
      </c>
      <c r="BO2" s="7" t="s">
        <v>66</v>
      </c>
      <c r="BP2" s="7" t="s">
        <v>67</v>
      </c>
      <c r="BQ2" s="7" t="s">
        <v>68</v>
      </c>
      <c r="BR2" s="7" t="s">
        <v>69</v>
      </c>
      <c r="BS2" s="7" t="s">
        <v>70</v>
      </c>
      <c r="BT2" s="7" t="s">
        <v>71</v>
      </c>
      <c r="BU2" s="7" t="s">
        <v>72</v>
      </c>
      <c r="BV2" s="7" t="s">
        <v>73</v>
      </c>
      <c r="BW2" s="7" t="s">
        <v>74</v>
      </c>
      <c r="BX2" s="7" t="s">
        <v>75</v>
      </c>
      <c r="BY2" s="7" t="s">
        <v>76</v>
      </c>
      <c r="BZ2" s="7" t="s">
        <v>77</v>
      </c>
      <c r="CA2" s="7" t="s">
        <v>78</v>
      </c>
      <c r="CB2" s="7" t="s">
        <v>79</v>
      </c>
      <c r="CC2" s="7" t="s">
        <v>80</v>
      </c>
      <c r="CD2" s="7" t="s">
        <v>81</v>
      </c>
      <c r="CE2" s="7" t="s">
        <v>82</v>
      </c>
      <c r="CF2" s="7" t="s">
        <v>83</v>
      </c>
      <c r="CG2" s="7" t="s">
        <v>84</v>
      </c>
      <c r="CH2" s="7" t="s">
        <v>85</v>
      </c>
      <c r="CI2" s="7" t="s">
        <v>86</v>
      </c>
      <c r="CJ2" s="7" t="s">
        <v>87</v>
      </c>
      <c r="CK2" s="7" t="s">
        <v>88</v>
      </c>
      <c r="CL2" s="7" t="s">
        <v>89</v>
      </c>
      <c r="CM2" s="7" t="s">
        <v>90</v>
      </c>
      <c r="CN2" s="7" t="s">
        <v>91</v>
      </c>
      <c r="CO2" s="7" t="s">
        <v>92</v>
      </c>
      <c r="CP2" s="7" t="s">
        <v>93</v>
      </c>
    </row>
    <row r="3" spans="1:94" x14ac:dyDescent="0.25">
      <c r="A3" t="s">
        <v>94</v>
      </c>
      <c r="B3" t="str">
        <f xml:space="preserve"> "" &amp; 840254003729</f>
        <v>840254003729</v>
      </c>
      <c r="C3" t="s">
        <v>95</v>
      </c>
      <c r="D3" t="s">
        <v>96</v>
      </c>
      <c r="E3" t="s">
        <v>97</v>
      </c>
      <c r="F3" t="s">
        <v>98</v>
      </c>
      <c r="G3">
        <v>1</v>
      </c>
      <c r="H3">
        <v>1</v>
      </c>
      <c r="I3" t="s">
        <v>99</v>
      </c>
      <c r="J3" s="4">
        <v>6995</v>
      </c>
      <c r="K3" s="4">
        <v>20985</v>
      </c>
      <c r="O3" t="s">
        <v>100</v>
      </c>
      <c r="P3" s="4">
        <v>14689.95</v>
      </c>
      <c r="S3">
        <v>43.5</v>
      </c>
      <c r="T3">
        <v>48.5</v>
      </c>
      <c r="U3">
        <v>48.5</v>
      </c>
      <c r="W3">
        <v>65.010000000000005</v>
      </c>
      <c r="X3">
        <v>2</v>
      </c>
      <c r="Y3">
        <v>47</v>
      </c>
      <c r="Z3">
        <v>36</v>
      </c>
      <c r="AA3">
        <v>36</v>
      </c>
      <c r="AB3">
        <v>35.25</v>
      </c>
      <c r="AC3">
        <v>57</v>
      </c>
      <c r="AE3">
        <v>12</v>
      </c>
      <c r="AF3" t="s">
        <v>101</v>
      </c>
      <c r="AG3">
        <v>60</v>
      </c>
      <c r="AK3" t="s">
        <v>102</v>
      </c>
      <c r="AL3">
        <v>12</v>
      </c>
      <c r="AM3" t="s">
        <v>102</v>
      </c>
      <c r="AN3" t="s">
        <v>102</v>
      </c>
      <c r="AO3" t="s">
        <v>102</v>
      </c>
      <c r="AP3" t="s">
        <v>103</v>
      </c>
      <c r="AQ3" t="s">
        <v>104</v>
      </c>
      <c r="AV3" t="s">
        <v>102</v>
      </c>
      <c r="AZ3" t="s">
        <v>105</v>
      </c>
      <c r="BF3" t="s">
        <v>106</v>
      </c>
      <c r="BG3" t="s">
        <v>102</v>
      </c>
      <c r="BH3" t="s">
        <v>102</v>
      </c>
      <c r="BI3" t="s">
        <v>102</v>
      </c>
      <c r="BK3" t="s">
        <v>107</v>
      </c>
      <c r="BR3">
        <v>1.25</v>
      </c>
      <c r="BT3">
        <v>5.38</v>
      </c>
      <c r="CA3" t="s">
        <v>108</v>
      </c>
      <c r="CL3" t="s">
        <v>102</v>
      </c>
      <c r="CM3" t="s">
        <v>102</v>
      </c>
      <c r="CN3" t="s">
        <v>109</v>
      </c>
      <c r="CO3" s="1">
        <v>41759</v>
      </c>
      <c r="CP3" s="1">
        <v>43634</v>
      </c>
    </row>
    <row r="4" spans="1:94" x14ac:dyDescent="0.25">
      <c r="A4" t="s">
        <v>110</v>
      </c>
      <c r="B4" t="str">
        <f xml:space="preserve"> "" &amp; 840254003743</f>
        <v>840254003743</v>
      </c>
      <c r="C4" t="s">
        <v>111</v>
      </c>
      <c r="D4" t="s">
        <v>112</v>
      </c>
      <c r="E4" t="s">
        <v>97</v>
      </c>
      <c r="F4" t="s">
        <v>98</v>
      </c>
      <c r="G4">
        <v>1</v>
      </c>
      <c r="H4">
        <v>1</v>
      </c>
      <c r="I4" t="s">
        <v>99</v>
      </c>
      <c r="J4" s="4">
        <v>4795</v>
      </c>
      <c r="K4" s="4">
        <v>14385</v>
      </c>
      <c r="O4" t="s">
        <v>100</v>
      </c>
      <c r="P4" s="4">
        <v>10069.950000000001</v>
      </c>
      <c r="S4">
        <v>37</v>
      </c>
      <c r="U4">
        <v>40</v>
      </c>
      <c r="W4">
        <v>22</v>
      </c>
      <c r="X4">
        <v>2</v>
      </c>
      <c r="Y4">
        <v>25</v>
      </c>
      <c r="Z4">
        <v>36</v>
      </c>
      <c r="AA4">
        <v>36</v>
      </c>
      <c r="AB4">
        <v>18.75</v>
      </c>
      <c r="AC4">
        <v>28.6</v>
      </c>
      <c r="AE4">
        <v>8</v>
      </c>
      <c r="AF4" t="s">
        <v>101</v>
      </c>
      <c r="AG4">
        <v>60</v>
      </c>
      <c r="AK4" t="s">
        <v>102</v>
      </c>
      <c r="AM4" t="s">
        <v>102</v>
      </c>
      <c r="AN4" t="s">
        <v>102</v>
      </c>
      <c r="AO4" t="s">
        <v>102</v>
      </c>
      <c r="AP4" t="s">
        <v>103</v>
      </c>
      <c r="AQ4" t="s">
        <v>104</v>
      </c>
      <c r="AV4" t="s">
        <v>102</v>
      </c>
      <c r="AZ4" t="s">
        <v>105</v>
      </c>
      <c r="BF4" t="s">
        <v>113</v>
      </c>
      <c r="BG4" t="s">
        <v>102</v>
      </c>
      <c r="BH4" t="s">
        <v>102</v>
      </c>
      <c r="BI4" t="s">
        <v>102</v>
      </c>
      <c r="BK4" t="s">
        <v>107</v>
      </c>
      <c r="CA4" t="s">
        <v>108</v>
      </c>
      <c r="CL4" t="s">
        <v>102</v>
      </c>
      <c r="CM4" t="s">
        <v>102</v>
      </c>
      <c r="CN4" t="s">
        <v>109</v>
      </c>
      <c r="CO4" s="1">
        <v>41759</v>
      </c>
      <c r="CP4" s="1">
        <v>43634</v>
      </c>
    </row>
    <row r="5" spans="1:94" x14ac:dyDescent="0.25">
      <c r="A5" t="s">
        <v>114</v>
      </c>
      <c r="B5" t="str">
        <f xml:space="preserve"> "" &amp; 840253049261</f>
        <v>840253049261</v>
      </c>
      <c r="C5" t="s">
        <v>115</v>
      </c>
      <c r="D5" t="s">
        <v>115</v>
      </c>
      <c r="F5" t="s">
        <v>116</v>
      </c>
      <c r="G5">
        <v>1</v>
      </c>
      <c r="H5">
        <v>1</v>
      </c>
      <c r="I5" t="s">
        <v>99</v>
      </c>
      <c r="J5" s="4">
        <v>14</v>
      </c>
      <c r="K5" s="4">
        <v>42</v>
      </c>
      <c r="S5">
        <v>5</v>
      </c>
      <c r="U5">
        <v>8</v>
      </c>
      <c r="W5">
        <v>3.19</v>
      </c>
      <c r="X5">
        <v>1</v>
      </c>
      <c r="AB5">
        <v>0</v>
      </c>
      <c r="AC5">
        <v>3.91</v>
      </c>
      <c r="AK5" t="s">
        <v>102</v>
      </c>
      <c r="AM5" t="s">
        <v>102</v>
      </c>
      <c r="AN5" t="s">
        <v>102</v>
      </c>
      <c r="AO5" t="s">
        <v>102</v>
      </c>
      <c r="AP5" t="s">
        <v>117</v>
      </c>
      <c r="AQ5" t="s">
        <v>104</v>
      </c>
      <c r="AV5" t="s">
        <v>102</v>
      </c>
      <c r="BB5" t="s">
        <v>118</v>
      </c>
      <c r="BF5" t="s">
        <v>119</v>
      </c>
      <c r="BG5" t="s">
        <v>102</v>
      </c>
      <c r="BH5" t="s">
        <v>102</v>
      </c>
      <c r="BI5" t="s">
        <v>102</v>
      </c>
      <c r="CA5" t="s">
        <v>114</v>
      </c>
      <c r="CL5" t="s">
        <v>102</v>
      </c>
      <c r="CM5" t="s">
        <v>102</v>
      </c>
      <c r="CN5" t="s">
        <v>118</v>
      </c>
      <c r="CO5" s="1">
        <v>40472</v>
      </c>
      <c r="CP5" s="1">
        <v>41852</v>
      </c>
    </row>
    <row r="6" spans="1:94" x14ac:dyDescent="0.25">
      <c r="A6" t="s">
        <v>120</v>
      </c>
      <c r="B6" t="str">
        <f xml:space="preserve"> "" &amp; 840254005327</f>
        <v>840254005327</v>
      </c>
      <c r="C6" t="s">
        <v>121</v>
      </c>
      <c r="D6" t="s">
        <v>122</v>
      </c>
      <c r="F6" t="s">
        <v>116</v>
      </c>
      <c r="G6">
        <v>1</v>
      </c>
      <c r="H6">
        <v>1</v>
      </c>
      <c r="I6" t="s">
        <v>99</v>
      </c>
      <c r="J6" s="4">
        <v>35</v>
      </c>
      <c r="K6" s="4">
        <v>105</v>
      </c>
      <c r="S6">
        <v>1</v>
      </c>
      <c r="U6">
        <v>1</v>
      </c>
      <c r="W6">
        <v>12.1</v>
      </c>
      <c r="X6">
        <v>1</v>
      </c>
      <c r="AB6">
        <v>1.302</v>
      </c>
      <c r="AC6">
        <v>12.1</v>
      </c>
      <c r="AK6" t="s">
        <v>102</v>
      </c>
      <c r="AM6" t="s">
        <v>102</v>
      </c>
      <c r="AN6" t="s">
        <v>102</v>
      </c>
      <c r="AO6" t="s">
        <v>102</v>
      </c>
      <c r="AP6" t="s">
        <v>117</v>
      </c>
      <c r="AV6" t="s">
        <v>102</v>
      </c>
      <c r="BF6" t="s">
        <v>123</v>
      </c>
      <c r="BG6" t="s">
        <v>102</v>
      </c>
      <c r="BH6" t="s">
        <v>102</v>
      </c>
      <c r="BI6" t="s">
        <v>102</v>
      </c>
      <c r="CL6" t="s">
        <v>102</v>
      </c>
      <c r="CM6" t="s">
        <v>102</v>
      </c>
      <c r="CP6" s="1">
        <v>43634</v>
      </c>
    </row>
    <row r="7" spans="1:94" x14ac:dyDescent="0.25">
      <c r="A7" t="s">
        <v>124</v>
      </c>
      <c r="B7" t="str">
        <f xml:space="preserve"> "" &amp; 840254005358</f>
        <v>840254005358</v>
      </c>
      <c r="C7" t="s">
        <v>121</v>
      </c>
      <c r="D7" t="s">
        <v>125</v>
      </c>
      <c r="F7" t="s">
        <v>116</v>
      </c>
      <c r="G7">
        <v>1</v>
      </c>
      <c r="H7">
        <v>1</v>
      </c>
      <c r="I7" t="s">
        <v>99</v>
      </c>
      <c r="J7" s="4">
        <v>35</v>
      </c>
      <c r="K7" s="4">
        <v>105</v>
      </c>
      <c r="S7">
        <v>1</v>
      </c>
      <c r="U7">
        <v>1</v>
      </c>
      <c r="W7">
        <v>2.64</v>
      </c>
      <c r="X7">
        <v>1</v>
      </c>
      <c r="Y7">
        <v>13.25</v>
      </c>
      <c r="Z7">
        <v>19.5</v>
      </c>
      <c r="AA7">
        <v>17</v>
      </c>
      <c r="AB7">
        <v>2.5419999999999998</v>
      </c>
      <c r="AC7">
        <v>3.12</v>
      </c>
      <c r="AK7" t="s">
        <v>102</v>
      </c>
      <c r="AM7" t="s">
        <v>102</v>
      </c>
      <c r="AN7" t="s">
        <v>102</v>
      </c>
      <c r="AO7" t="s">
        <v>102</v>
      </c>
      <c r="AP7" t="s">
        <v>117</v>
      </c>
      <c r="AV7" t="s">
        <v>102</v>
      </c>
      <c r="BF7" t="s">
        <v>126</v>
      </c>
      <c r="BG7" t="s">
        <v>102</v>
      </c>
      <c r="BH7" t="s">
        <v>102</v>
      </c>
      <c r="BI7" t="s">
        <v>102</v>
      </c>
      <c r="CL7" t="s">
        <v>102</v>
      </c>
      <c r="CM7" t="s">
        <v>102</v>
      </c>
      <c r="CP7" s="1">
        <v>43634</v>
      </c>
    </row>
    <row r="8" spans="1:94" x14ac:dyDescent="0.25">
      <c r="A8" t="s">
        <v>127</v>
      </c>
      <c r="B8" t="str">
        <f xml:space="preserve"> "" &amp; 840254036987</f>
        <v>840254036987</v>
      </c>
      <c r="C8" t="s">
        <v>118</v>
      </c>
      <c r="D8" t="s">
        <v>128</v>
      </c>
      <c r="F8" t="s">
        <v>116</v>
      </c>
      <c r="G8">
        <v>1</v>
      </c>
      <c r="H8">
        <v>1</v>
      </c>
      <c r="I8" t="s">
        <v>99</v>
      </c>
      <c r="J8" s="4">
        <v>65</v>
      </c>
      <c r="K8" s="4">
        <v>195</v>
      </c>
      <c r="S8">
        <v>3</v>
      </c>
      <c r="T8">
        <v>24</v>
      </c>
      <c r="U8">
        <v>4.38</v>
      </c>
      <c r="W8">
        <v>2.31</v>
      </c>
      <c r="X8">
        <v>1</v>
      </c>
      <c r="AB8">
        <v>0.71699999999999997</v>
      </c>
      <c r="AC8">
        <v>4.95</v>
      </c>
      <c r="AK8" t="s">
        <v>102</v>
      </c>
      <c r="AM8" t="s">
        <v>102</v>
      </c>
      <c r="AN8" t="s">
        <v>102</v>
      </c>
      <c r="AO8" t="s">
        <v>102</v>
      </c>
      <c r="AP8" t="s">
        <v>117</v>
      </c>
      <c r="AQ8" t="s">
        <v>104</v>
      </c>
      <c r="AV8" t="s">
        <v>102</v>
      </c>
      <c r="AX8" t="s">
        <v>129</v>
      </c>
      <c r="BF8" t="s">
        <v>130</v>
      </c>
      <c r="BG8" t="s">
        <v>102</v>
      </c>
      <c r="BH8" t="s">
        <v>102</v>
      </c>
      <c r="BI8" t="s">
        <v>102</v>
      </c>
      <c r="CA8" t="s">
        <v>127</v>
      </c>
      <c r="CB8" t="s">
        <v>129</v>
      </c>
      <c r="CL8" t="s">
        <v>102</v>
      </c>
      <c r="CM8" t="s">
        <v>102</v>
      </c>
      <c r="CO8" s="1">
        <v>40423</v>
      </c>
      <c r="CP8" s="1">
        <v>43634</v>
      </c>
    </row>
    <row r="9" spans="1:94" x14ac:dyDescent="0.25">
      <c r="A9" t="s">
        <v>131</v>
      </c>
      <c r="B9" t="str">
        <f xml:space="preserve"> "" &amp; 840254036994</f>
        <v>840254036994</v>
      </c>
      <c r="C9" t="s">
        <v>132</v>
      </c>
      <c r="D9" t="s">
        <v>133</v>
      </c>
      <c r="F9" t="s">
        <v>116</v>
      </c>
      <c r="G9">
        <v>1</v>
      </c>
      <c r="H9">
        <v>1</v>
      </c>
      <c r="I9" t="s">
        <v>99</v>
      </c>
      <c r="J9" s="4">
        <v>85</v>
      </c>
      <c r="K9" s="4">
        <v>255</v>
      </c>
      <c r="S9">
        <v>3</v>
      </c>
      <c r="T9">
        <v>36</v>
      </c>
      <c r="U9">
        <v>4.38</v>
      </c>
      <c r="W9">
        <v>5.28</v>
      </c>
      <c r="X9">
        <v>1</v>
      </c>
      <c r="Y9">
        <v>6.125</v>
      </c>
      <c r="Z9">
        <v>39</v>
      </c>
      <c r="AA9">
        <v>7.5</v>
      </c>
      <c r="AB9">
        <v>1.0369999999999999</v>
      </c>
      <c r="AC9">
        <v>7.39</v>
      </c>
      <c r="AK9" t="s">
        <v>102</v>
      </c>
      <c r="AM9" t="s">
        <v>102</v>
      </c>
      <c r="AN9" t="s">
        <v>102</v>
      </c>
      <c r="AO9" t="s">
        <v>102</v>
      </c>
      <c r="AP9" t="s">
        <v>117</v>
      </c>
      <c r="AQ9" t="s">
        <v>104</v>
      </c>
      <c r="AV9" t="s">
        <v>102</v>
      </c>
      <c r="BF9" t="s">
        <v>134</v>
      </c>
      <c r="BG9" t="s">
        <v>102</v>
      </c>
      <c r="BH9" t="s">
        <v>102</v>
      </c>
      <c r="BI9" t="s">
        <v>102</v>
      </c>
      <c r="CA9" t="s">
        <v>131</v>
      </c>
      <c r="CL9" t="s">
        <v>102</v>
      </c>
      <c r="CM9" t="s">
        <v>102</v>
      </c>
      <c r="CO9" s="1">
        <v>40423</v>
      </c>
      <c r="CP9" s="1">
        <v>43634</v>
      </c>
    </row>
    <row r="10" spans="1:94" x14ac:dyDescent="0.25">
      <c r="A10" t="s">
        <v>135</v>
      </c>
      <c r="B10" t="str">
        <f xml:space="preserve"> "" &amp; 840254033276</f>
        <v>840254033276</v>
      </c>
      <c r="C10" t="s">
        <v>136</v>
      </c>
      <c r="D10" t="s">
        <v>137</v>
      </c>
      <c r="F10" t="s">
        <v>116</v>
      </c>
      <c r="G10">
        <v>1</v>
      </c>
      <c r="H10">
        <v>1</v>
      </c>
      <c r="I10" t="s">
        <v>99</v>
      </c>
      <c r="J10" s="4">
        <v>45</v>
      </c>
      <c r="K10" s="4">
        <v>135</v>
      </c>
      <c r="S10">
        <v>3.5</v>
      </c>
      <c r="U10">
        <v>8.58</v>
      </c>
      <c r="W10">
        <v>1.87</v>
      </c>
      <c r="X10">
        <v>1</v>
      </c>
      <c r="Y10">
        <v>21</v>
      </c>
      <c r="Z10">
        <v>24</v>
      </c>
      <c r="AA10">
        <v>11.75</v>
      </c>
      <c r="AB10">
        <v>3.427</v>
      </c>
      <c r="AC10">
        <v>2.59</v>
      </c>
      <c r="AK10" t="s">
        <v>102</v>
      </c>
      <c r="AM10" t="s">
        <v>102</v>
      </c>
      <c r="AN10" t="s">
        <v>102</v>
      </c>
      <c r="AO10" t="s">
        <v>102</v>
      </c>
      <c r="AP10" t="s">
        <v>117</v>
      </c>
      <c r="AQ10" t="s">
        <v>104</v>
      </c>
      <c r="AV10" t="s">
        <v>102</v>
      </c>
      <c r="BF10" t="s">
        <v>138</v>
      </c>
      <c r="BG10" t="s">
        <v>102</v>
      </c>
      <c r="BH10" t="s">
        <v>102</v>
      </c>
      <c r="BI10" t="s">
        <v>102</v>
      </c>
      <c r="CA10" t="s">
        <v>135</v>
      </c>
      <c r="CL10" t="s">
        <v>102</v>
      </c>
      <c r="CM10" t="s">
        <v>102</v>
      </c>
      <c r="CO10" s="1">
        <v>39835</v>
      </c>
      <c r="CP10" s="1">
        <v>43634</v>
      </c>
    </row>
    <row r="11" spans="1:94" x14ac:dyDescent="0.25">
      <c r="A11" t="s">
        <v>139</v>
      </c>
      <c r="B11" t="str">
        <f xml:space="preserve"> "" &amp; 840254033313</f>
        <v>840254033313</v>
      </c>
      <c r="C11" t="s">
        <v>136</v>
      </c>
      <c r="D11" t="s">
        <v>140</v>
      </c>
      <c r="F11" t="s">
        <v>116</v>
      </c>
      <c r="G11">
        <v>1</v>
      </c>
      <c r="H11">
        <v>1</v>
      </c>
      <c r="I11" t="s">
        <v>99</v>
      </c>
      <c r="J11" s="4">
        <v>22.5</v>
      </c>
      <c r="K11" s="4">
        <v>67.5</v>
      </c>
      <c r="S11">
        <v>4.13</v>
      </c>
      <c r="U11">
        <v>5.25</v>
      </c>
      <c r="W11">
        <v>1.43</v>
      </c>
      <c r="X11">
        <v>1</v>
      </c>
      <c r="Y11">
        <v>14.25</v>
      </c>
      <c r="Z11">
        <v>32</v>
      </c>
      <c r="AA11">
        <v>8.5</v>
      </c>
      <c r="AB11">
        <v>2.2429999999999999</v>
      </c>
      <c r="AC11">
        <v>1.96</v>
      </c>
      <c r="AK11" t="s">
        <v>102</v>
      </c>
      <c r="AM11" t="s">
        <v>102</v>
      </c>
      <c r="AN11" t="s">
        <v>102</v>
      </c>
      <c r="AO11" t="s">
        <v>102</v>
      </c>
      <c r="AP11" t="s">
        <v>117</v>
      </c>
      <c r="AQ11" t="s">
        <v>104</v>
      </c>
      <c r="AV11" t="s">
        <v>102</v>
      </c>
      <c r="BF11" t="s">
        <v>141</v>
      </c>
      <c r="BG11" t="s">
        <v>102</v>
      </c>
      <c r="BH11" t="s">
        <v>102</v>
      </c>
      <c r="BI11" t="s">
        <v>102</v>
      </c>
      <c r="CA11" t="s">
        <v>139</v>
      </c>
      <c r="CL11" t="s">
        <v>102</v>
      </c>
      <c r="CM11" t="s">
        <v>102</v>
      </c>
      <c r="CO11" s="1">
        <v>39835</v>
      </c>
      <c r="CP11" s="1">
        <v>43634</v>
      </c>
    </row>
    <row r="12" spans="1:94" x14ac:dyDescent="0.25">
      <c r="A12" t="s">
        <v>142</v>
      </c>
      <c r="B12" t="str">
        <f xml:space="preserve"> "" &amp; 840254033320</f>
        <v>840254033320</v>
      </c>
      <c r="C12" t="s">
        <v>143</v>
      </c>
      <c r="D12" t="s">
        <v>144</v>
      </c>
      <c r="F12" t="s">
        <v>116</v>
      </c>
      <c r="G12">
        <v>1</v>
      </c>
      <c r="H12">
        <v>1</v>
      </c>
      <c r="I12" t="s">
        <v>99</v>
      </c>
      <c r="J12" s="4">
        <v>50</v>
      </c>
      <c r="K12" s="4">
        <v>150</v>
      </c>
      <c r="S12">
        <v>9.25</v>
      </c>
      <c r="U12">
        <v>7.75</v>
      </c>
      <c r="W12">
        <v>3.08</v>
      </c>
      <c r="X12">
        <v>1</v>
      </c>
      <c r="Y12">
        <v>28.13</v>
      </c>
      <c r="Z12">
        <v>19.25</v>
      </c>
      <c r="AA12">
        <v>12.38</v>
      </c>
      <c r="AB12">
        <v>3.88</v>
      </c>
      <c r="AC12">
        <v>4.18</v>
      </c>
      <c r="AK12" t="s">
        <v>102</v>
      </c>
      <c r="AM12" t="s">
        <v>102</v>
      </c>
      <c r="AN12" t="s">
        <v>102</v>
      </c>
      <c r="AO12" t="s">
        <v>102</v>
      </c>
      <c r="AP12" t="s">
        <v>117</v>
      </c>
      <c r="AQ12" t="s">
        <v>104</v>
      </c>
      <c r="AV12" t="s">
        <v>102</v>
      </c>
      <c r="BF12" t="s">
        <v>145</v>
      </c>
      <c r="BG12" t="s">
        <v>102</v>
      </c>
      <c r="BH12" t="s">
        <v>102</v>
      </c>
      <c r="BI12" t="s">
        <v>102</v>
      </c>
      <c r="CA12" t="s">
        <v>142</v>
      </c>
      <c r="CL12" t="s">
        <v>102</v>
      </c>
      <c r="CM12" t="s">
        <v>102</v>
      </c>
      <c r="CO12" s="1">
        <v>39835</v>
      </c>
      <c r="CP12" s="1">
        <v>43634</v>
      </c>
    </row>
    <row r="13" spans="1:94" x14ac:dyDescent="0.25">
      <c r="A13" t="s">
        <v>146</v>
      </c>
      <c r="B13" t="str">
        <f xml:space="preserve"> "" &amp; 840254036918</f>
        <v>840254036918</v>
      </c>
      <c r="C13" t="s">
        <v>147</v>
      </c>
      <c r="D13" t="s">
        <v>148</v>
      </c>
      <c r="F13" t="s">
        <v>116</v>
      </c>
      <c r="G13">
        <v>1</v>
      </c>
      <c r="H13">
        <v>1</v>
      </c>
      <c r="I13" t="s">
        <v>99</v>
      </c>
      <c r="J13" s="4">
        <v>20</v>
      </c>
      <c r="K13" s="4">
        <v>60</v>
      </c>
      <c r="S13">
        <v>0.32</v>
      </c>
      <c r="T13">
        <v>6.8</v>
      </c>
      <c r="U13">
        <v>3.1</v>
      </c>
      <c r="W13">
        <v>0.08</v>
      </c>
      <c r="X13">
        <v>1</v>
      </c>
      <c r="Y13">
        <v>7</v>
      </c>
      <c r="Z13">
        <v>6.5</v>
      </c>
      <c r="AA13">
        <v>6.5</v>
      </c>
      <c r="AB13">
        <v>0.17100000000000001</v>
      </c>
      <c r="AC13">
        <v>0.1</v>
      </c>
      <c r="AK13" t="s">
        <v>102</v>
      </c>
      <c r="AM13" t="s">
        <v>102</v>
      </c>
      <c r="AN13" t="s">
        <v>102</v>
      </c>
      <c r="AO13" t="s">
        <v>102</v>
      </c>
      <c r="AP13" t="s">
        <v>117</v>
      </c>
      <c r="AQ13" t="s">
        <v>104</v>
      </c>
      <c r="AV13" t="s">
        <v>102</v>
      </c>
      <c r="BF13" t="s">
        <v>149</v>
      </c>
      <c r="BG13" t="s">
        <v>102</v>
      </c>
      <c r="BH13" t="s">
        <v>102</v>
      </c>
      <c r="BI13" t="s">
        <v>102</v>
      </c>
      <c r="CA13" t="s">
        <v>146</v>
      </c>
      <c r="CL13" t="s">
        <v>102</v>
      </c>
      <c r="CM13" t="s">
        <v>102</v>
      </c>
      <c r="CO13" s="1">
        <v>40471</v>
      </c>
      <c r="CP13" s="1">
        <v>43634</v>
      </c>
    </row>
    <row r="14" spans="1:94" x14ac:dyDescent="0.25">
      <c r="A14" t="s">
        <v>150</v>
      </c>
      <c r="B14" t="str">
        <f xml:space="preserve"> "" &amp; 840254036925</f>
        <v>840254036925</v>
      </c>
      <c r="C14" t="s">
        <v>147</v>
      </c>
      <c r="D14" t="s">
        <v>148</v>
      </c>
      <c r="F14" t="s">
        <v>116</v>
      </c>
      <c r="G14">
        <v>1</v>
      </c>
      <c r="H14">
        <v>1</v>
      </c>
      <c r="I14" t="s">
        <v>99</v>
      </c>
      <c r="J14" s="4">
        <v>6</v>
      </c>
      <c r="K14" s="4">
        <v>18</v>
      </c>
      <c r="S14">
        <v>32</v>
      </c>
      <c r="T14">
        <v>4.25</v>
      </c>
      <c r="U14">
        <v>1.89</v>
      </c>
      <c r="W14">
        <v>0.06</v>
      </c>
      <c r="X14">
        <v>1</v>
      </c>
      <c r="Y14">
        <v>6</v>
      </c>
      <c r="Z14">
        <v>5.5</v>
      </c>
      <c r="AA14">
        <v>5.5</v>
      </c>
      <c r="AB14">
        <v>0.105</v>
      </c>
      <c r="AC14">
        <v>7.0000000000000007E-2</v>
      </c>
      <c r="AK14" t="s">
        <v>102</v>
      </c>
      <c r="AM14" t="s">
        <v>102</v>
      </c>
      <c r="AN14" t="s">
        <v>102</v>
      </c>
      <c r="AO14" t="s">
        <v>102</v>
      </c>
      <c r="AP14" t="s">
        <v>117</v>
      </c>
      <c r="AQ14" t="s">
        <v>104</v>
      </c>
      <c r="AV14" t="s">
        <v>102</v>
      </c>
      <c r="BF14" t="s">
        <v>151</v>
      </c>
      <c r="BG14" t="s">
        <v>102</v>
      </c>
      <c r="BH14" t="s">
        <v>102</v>
      </c>
      <c r="BI14" t="s">
        <v>102</v>
      </c>
      <c r="CA14" t="s">
        <v>150</v>
      </c>
      <c r="CL14" t="s">
        <v>102</v>
      </c>
      <c r="CM14" t="s">
        <v>102</v>
      </c>
      <c r="CO14" s="1">
        <v>40471</v>
      </c>
      <c r="CP14" s="1">
        <v>43634</v>
      </c>
    </row>
    <row r="15" spans="1:94" x14ac:dyDescent="0.25">
      <c r="A15" t="s">
        <v>152</v>
      </c>
      <c r="B15" t="str">
        <f xml:space="preserve"> "" &amp; 840254036956</f>
        <v>840254036956</v>
      </c>
      <c r="C15" t="s">
        <v>132</v>
      </c>
      <c r="D15" t="s">
        <v>153</v>
      </c>
      <c r="F15" t="s">
        <v>116</v>
      </c>
      <c r="G15">
        <v>1</v>
      </c>
      <c r="H15">
        <v>1</v>
      </c>
      <c r="I15" t="s">
        <v>99</v>
      </c>
      <c r="J15" s="4">
        <v>33</v>
      </c>
      <c r="K15" s="4">
        <v>99</v>
      </c>
      <c r="S15">
        <v>4.5</v>
      </c>
      <c r="T15">
        <v>10.75</v>
      </c>
      <c r="U15">
        <v>4.5</v>
      </c>
      <c r="W15">
        <v>1.82</v>
      </c>
      <c r="X15">
        <v>1</v>
      </c>
      <c r="Y15">
        <v>5</v>
      </c>
      <c r="Z15">
        <v>11.25</v>
      </c>
      <c r="AA15">
        <v>5</v>
      </c>
      <c r="AB15">
        <v>0.16300000000000001</v>
      </c>
      <c r="AC15">
        <v>2.41</v>
      </c>
      <c r="AK15" t="s">
        <v>102</v>
      </c>
      <c r="AM15" t="s">
        <v>102</v>
      </c>
      <c r="AN15" t="s">
        <v>102</v>
      </c>
      <c r="AO15" t="s">
        <v>102</v>
      </c>
      <c r="AP15" t="s">
        <v>117</v>
      </c>
      <c r="AQ15" t="s">
        <v>104</v>
      </c>
      <c r="AV15" t="s">
        <v>102</v>
      </c>
      <c r="BF15" t="s">
        <v>154</v>
      </c>
      <c r="BG15" t="s">
        <v>102</v>
      </c>
      <c r="BH15" t="s">
        <v>102</v>
      </c>
      <c r="BI15" t="s">
        <v>102</v>
      </c>
      <c r="CA15" t="s">
        <v>152</v>
      </c>
      <c r="CL15" t="s">
        <v>102</v>
      </c>
      <c r="CM15" t="s">
        <v>102</v>
      </c>
      <c r="CO15" s="1">
        <v>40421</v>
      </c>
      <c r="CP15" s="1">
        <v>43634</v>
      </c>
    </row>
    <row r="16" spans="1:94" x14ac:dyDescent="0.25">
      <c r="A16" t="s">
        <v>155</v>
      </c>
      <c r="B16" t="str">
        <f xml:space="preserve"> "" &amp; 840254036949</f>
        <v>840254036949</v>
      </c>
      <c r="C16" t="s">
        <v>132</v>
      </c>
      <c r="D16" t="s">
        <v>156</v>
      </c>
      <c r="F16" t="s">
        <v>116</v>
      </c>
      <c r="G16">
        <v>1</v>
      </c>
      <c r="H16">
        <v>1</v>
      </c>
      <c r="I16" t="s">
        <v>99</v>
      </c>
      <c r="J16" s="4">
        <v>35</v>
      </c>
      <c r="K16" s="4">
        <v>105</v>
      </c>
      <c r="S16">
        <v>4.25</v>
      </c>
      <c r="U16">
        <v>14</v>
      </c>
      <c r="W16">
        <v>2.5299999999999998</v>
      </c>
      <c r="X16">
        <v>1</v>
      </c>
      <c r="Y16">
        <v>7.38</v>
      </c>
      <c r="Z16">
        <v>15.88</v>
      </c>
      <c r="AA16">
        <v>15.88</v>
      </c>
      <c r="AB16">
        <v>1.077</v>
      </c>
      <c r="AC16">
        <v>4.51</v>
      </c>
      <c r="AK16" t="s">
        <v>102</v>
      </c>
      <c r="AM16" t="s">
        <v>102</v>
      </c>
      <c r="AN16" t="s">
        <v>102</v>
      </c>
      <c r="AO16" t="s">
        <v>102</v>
      </c>
      <c r="AP16" t="s">
        <v>117</v>
      </c>
      <c r="AQ16" t="s">
        <v>104</v>
      </c>
      <c r="AV16" t="s">
        <v>102</v>
      </c>
      <c r="BF16" t="s">
        <v>157</v>
      </c>
      <c r="BG16" t="s">
        <v>102</v>
      </c>
      <c r="BH16" t="s">
        <v>102</v>
      </c>
      <c r="BI16" t="s">
        <v>102</v>
      </c>
      <c r="CA16" t="s">
        <v>155</v>
      </c>
      <c r="CL16" t="s">
        <v>102</v>
      </c>
      <c r="CM16" t="s">
        <v>102</v>
      </c>
      <c r="CO16" s="1">
        <v>40421</v>
      </c>
      <c r="CP16" s="1">
        <v>43634</v>
      </c>
    </row>
    <row r="17" spans="1:94" x14ac:dyDescent="0.25">
      <c r="A17" t="s">
        <v>158</v>
      </c>
      <c r="B17" t="str">
        <f xml:space="preserve"> "" &amp; 840254039513</f>
        <v>840254039513</v>
      </c>
      <c r="C17" t="s">
        <v>111</v>
      </c>
      <c r="D17" t="s">
        <v>159</v>
      </c>
      <c r="E17" t="s">
        <v>160</v>
      </c>
      <c r="F17" t="s">
        <v>98</v>
      </c>
      <c r="G17">
        <v>1</v>
      </c>
      <c r="H17">
        <v>1</v>
      </c>
      <c r="I17" t="s">
        <v>99</v>
      </c>
      <c r="J17" s="4">
        <v>985</v>
      </c>
      <c r="K17" s="4">
        <v>2955</v>
      </c>
      <c r="O17" t="s">
        <v>100</v>
      </c>
      <c r="P17" s="4">
        <v>2069.9499999999998</v>
      </c>
      <c r="S17">
        <v>18.75</v>
      </c>
      <c r="U17">
        <v>28</v>
      </c>
      <c r="W17">
        <v>27.34</v>
      </c>
      <c r="X17">
        <v>1</v>
      </c>
      <c r="Y17">
        <v>23.25</v>
      </c>
      <c r="Z17">
        <v>31.5</v>
      </c>
      <c r="AA17">
        <v>31.5</v>
      </c>
      <c r="AB17">
        <v>13.351000000000001</v>
      </c>
      <c r="AC17">
        <v>41.45</v>
      </c>
      <c r="AE17">
        <v>8</v>
      </c>
      <c r="AF17" t="s">
        <v>161</v>
      </c>
      <c r="AG17">
        <v>60</v>
      </c>
      <c r="AK17" t="s">
        <v>102</v>
      </c>
      <c r="AM17" t="s">
        <v>102</v>
      </c>
      <c r="AN17" t="s">
        <v>100</v>
      </c>
      <c r="AO17" t="s">
        <v>102</v>
      </c>
      <c r="AP17" t="s">
        <v>103</v>
      </c>
      <c r="AQ17" t="s">
        <v>104</v>
      </c>
      <c r="AV17" t="s">
        <v>102</v>
      </c>
      <c r="AX17" t="s">
        <v>162</v>
      </c>
      <c r="AZ17" t="s">
        <v>163</v>
      </c>
      <c r="BF17" t="s">
        <v>164</v>
      </c>
      <c r="BG17" t="s">
        <v>102</v>
      </c>
      <c r="BH17" t="s">
        <v>102</v>
      </c>
      <c r="BI17" t="s">
        <v>102</v>
      </c>
      <c r="BK17" t="s">
        <v>107</v>
      </c>
      <c r="CA17" t="s">
        <v>165</v>
      </c>
      <c r="CB17" t="s">
        <v>162</v>
      </c>
      <c r="CL17" t="s">
        <v>102</v>
      </c>
      <c r="CM17" t="s">
        <v>102</v>
      </c>
      <c r="CN17" t="s">
        <v>166</v>
      </c>
      <c r="CO17" s="1">
        <v>40791</v>
      </c>
      <c r="CP17" s="1">
        <v>43634</v>
      </c>
    </row>
    <row r="18" spans="1:94" x14ac:dyDescent="0.25">
      <c r="A18" t="s">
        <v>170</v>
      </c>
      <c r="B18" t="str">
        <f xml:space="preserve"> "" &amp; 840254039537</f>
        <v>840254039537</v>
      </c>
      <c r="C18" t="s">
        <v>171</v>
      </c>
      <c r="D18" t="s">
        <v>172</v>
      </c>
      <c r="E18" t="s">
        <v>160</v>
      </c>
      <c r="F18" t="s">
        <v>98</v>
      </c>
      <c r="G18">
        <v>1</v>
      </c>
      <c r="H18">
        <v>1</v>
      </c>
      <c r="I18" t="s">
        <v>99</v>
      </c>
      <c r="J18" s="4">
        <v>1650</v>
      </c>
      <c r="K18" s="4">
        <v>4950</v>
      </c>
      <c r="O18" t="s">
        <v>100</v>
      </c>
      <c r="P18" s="4">
        <v>3469.95</v>
      </c>
      <c r="S18">
        <v>26.5</v>
      </c>
      <c r="U18">
        <v>33</v>
      </c>
      <c r="W18">
        <v>51.37</v>
      </c>
      <c r="X18">
        <v>1</v>
      </c>
      <c r="Y18">
        <v>29.5</v>
      </c>
      <c r="Z18">
        <v>37.75</v>
      </c>
      <c r="AA18">
        <v>37.5</v>
      </c>
      <c r="AB18">
        <v>24.167000000000002</v>
      </c>
      <c r="AC18">
        <v>74.430000000000007</v>
      </c>
      <c r="AE18">
        <v>10</v>
      </c>
      <c r="AF18" t="s">
        <v>167</v>
      </c>
      <c r="AG18">
        <v>60</v>
      </c>
      <c r="AH18">
        <v>5</v>
      </c>
      <c r="AI18" t="s">
        <v>167</v>
      </c>
      <c r="AJ18">
        <v>60</v>
      </c>
      <c r="AK18" t="s">
        <v>102</v>
      </c>
      <c r="AL18">
        <v>15</v>
      </c>
      <c r="AM18" t="s">
        <v>102</v>
      </c>
      <c r="AN18" t="s">
        <v>100</v>
      </c>
      <c r="AO18" t="s">
        <v>102</v>
      </c>
      <c r="AP18" t="s">
        <v>103</v>
      </c>
      <c r="AQ18" t="s">
        <v>104</v>
      </c>
      <c r="AV18" t="s">
        <v>102</v>
      </c>
      <c r="AX18" t="s">
        <v>162</v>
      </c>
      <c r="AZ18" t="s">
        <v>163</v>
      </c>
      <c r="BF18" t="s">
        <v>173</v>
      </c>
      <c r="BG18" t="s">
        <v>102</v>
      </c>
      <c r="BH18" t="s">
        <v>102</v>
      </c>
      <c r="BI18" t="s">
        <v>102</v>
      </c>
      <c r="BK18" t="s">
        <v>107</v>
      </c>
      <c r="CA18" t="s">
        <v>174</v>
      </c>
      <c r="CB18" t="s">
        <v>162</v>
      </c>
      <c r="CL18" t="s">
        <v>102</v>
      </c>
      <c r="CM18" t="s">
        <v>102</v>
      </c>
      <c r="CN18" t="s">
        <v>169</v>
      </c>
      <c r="CO18" s="1">
        <v>40791</v>
      </c>
      <c r="CP18" s="1">
        <v>43634</v>
      </c>
    </row>
    <row r="19" spans="1:94" x14ac:dyDescent="0.25">
      <c r="A19" t="s">
        <v>175</v>
      </c>
      <c r="B19" t="str">
        <f xml:space="preserve"> "" &amp; 840254039520</f>
        <v>840254039520</v>
      </c>
      <c r="C19" t="s">
        <v>171</v>
      </c>
      <c r="D19" t="s">
        <v>172</v>
      </c>
      <c r="E19" t="s">
        <v>160</v>
      </c>
      <c r="F19" t="s">
        <v>98</v>
      </c>
      <c r="G19">
        <v>1</v>
      </c>
      <c r="H19">
        <v>1</v>
      </c>
      <c r="I19" t="s">
        <v>99</v>
      </c>
      <c r="J19" s="4">
        <v>1650</v>
      </c>
      <c r="K19" s="4">
        <v>4950</v>
      </c>
      <c r="O19" t="s">
        <v>100</v>
      </c>
      <c r="P19" s="4">
        <v>3469.95</v>
      </c>
      <c r="S19">
        <v>26.5</v>
      </c>
      <c r="U19">
        <v>33</v>
      </c>
      <c r="W19">
        <v>51.37</v>
      </c>
      <c r="X19">
        <v>1</v>
      </c>
      <c r="Y19">
        <v>29.5</v>
      </c>
      <c r="Z19">
        <v>37.75</v>
      </c>
      <c r="AA19">
        <v>37.5</v>
      </c>
      <c r="AB19">
        <v>24.167000000000002</v>
      </c>
      <c r="AC19">
        <v>74.430000000000007</v>
      </c>
      <c r="AE19">
        <v>10</v>
      </c>
      <c r="AF19" t="s">
        <v>176</v>
      </c>
      <c r="AG19">
        <v>60</v>
      </c>
      <c r="AH19">
        <v>5</v>
      </c>
      <c r="AI19" t="s">
        <v>167</v>
      </c>
      <c r="AJ19">
        <v>60</v>
      </c>
      <c r="AK19" t="s">
        <v>102</v>
      </c>
      <c r="AL19">
        <v>15</v>
      </c>
      <c r="AM19" t="s">
        <v>102</v>
      </c>
      <c r="AN19" t="s">
        <v>100</v>
      </c>
      <c r="AO19" t="s">
        <v>102</v>
      </c>
      <c r="AP19" t="s">
        <v>103</v>
      </c>
      <c r="AQ19" t="s">
        <v>104</v>
      </c>
      <c r="AV19" t="s">
        <v>102</v>
      </c>
      <c r="AX19" t="s">
        <v>168</v>
      </c>
      <c r="AZ19" t="s">
        <v>163</v>
      </c>
      <c r="BF19" t="s">
        <v>177</v>
      </c>
      <c r="BG19" t="s">
        <v>102</v>
      </c>
      <c r="BH19" t="s">
        <v>102</v>
      </c>
      <c r="BI19" t="s">
        <v>102</v>
      </c>
      <c r="BK19" t="s">
        <v>107</v>
      </c>
      <c r="CA19" t="s">
        <v>174</v>
      </c>
      <c r="CB19" t="s">
        <v>168</v>
      </c>
      <c r="CL19" t="s">
        <v>102</v>
      </c>
      <c r="CM19" t="s">
        <v>102</v>
      </c>
      <c r="CN19" t="s">
        <v>169</v>
      </c>
      <c r="CO19" s="1">
        <v>40791</v>
      </c>
      <c r="CP19" s="1">
        <v>43634</v>
      </c>
    </row>
    <row r="20" spans="1:94" x14ac:dyDescent="0.25">
      <c r="A20" t="s">
        <v>182</v>
      </c>
      <c r="B20" t="str">
        <f xml:space="preserve"> "" &amp; 840254047563</f>
        <v>840254047563</v>
      </c>
      <c r="C20" t="s">
        <v>183</v>
      </c>
      <c r="D20" t="s">
        <v>184</v>
      </c>
      <c r="E20" t="s">
        <v>185</v>
      </c>
      <c r="F20" t="s">
        <v>186</v>
      </c>
      <c r="G20">
        <v>1</v>
      </c>
      <c r="H20">
        <v>1</v>
      </c>
      <c r="I20" t="s">
        <v>99</v>
      </c>
      <c r="J20" s="4">
        <v>265</v>
      </c>
      <c r="K20" s="4">
        <v>795</v>
      </c>
      <c r="O20" t="s">
        <v>100</v>
      </c>
      <c r="P20" s="4">
        <v>559.95000000000005</v>
      </c>
      <c r="S20">
        <v>8.75</v>
      </c>
      <c r="U20">
        <v>26</v>
      </c>
      <c r="V20">
        <v>5.25</v>
      </c>
      <c r="W20">
        <v>13.23</v>
      </c>
      <c r="X20">
        <v>1</v>
      </c>
      <c r="Y20">
        <v>8</v>
      </c>
      <c r="Z20">
        <v>29</v>
      </c>
      <c r="AA20">
        <v>11.5</v>
      </c>
      <c r="AB20">
        <v>1.544</v>
      </c>
      <c r="AC20">
        <v>15.54</v>
      </c>
      <c r="AE20">
        <v>5</v>
      </c>
      <c r="AF20" t="s">
        <v>187</v>
      </c>
      <c r="AG20">
        <v>60</v>
      </c>
      <c r="AK20" t="s">
        <v>102</v>
      </c>
      <c r="AM20" t="s">
        <v>102</v>
      </c>
      <c r="AN20" t="s">
        <v>102</v>
      </c>
      <c r="AO20" t="s">
        <v>100</v>
      </c>
      <c r="AP20" t="s">
        <v>117</v>
      </c>
      <c r="AQ20" t="s">
        <v>104</v>
      </c>
      <c r="AV20" t="s">
        <v>102</v>
      </c>
      <c r="AX20" t="s">
        <v>188</v>
      </c>
      <c r="AZ20" t="s">
        <v>189</v>
      </c>
      <c r="BF20" t="s">
        <v>190</v>
      </c>
      <c r="BG20" t="s">
        <v>102</v>
      </c>
      <c r="BH20" t="s">
        <v>102</v>
      </c>
      <c r="BI20" t="s">
        <v>102</v>
      </c>
      <c r="BK20" t="s">
        <v>191</v>
      </c>
      <c r="BM20">
        <v>22.5</v>
      </c>
      <c r="BN20">
        <v>7.25</v>
      </c>
      <c r="CA20" t="s">
        <v>192</v>
      </c>
      <c r="CB20" t="s">
        <v>188</v>
      </c>
      <c r="CL20" t="s">
        <v>100</v>
      </c>
      <c r="CM20" t="s">
        <v>102</v>
      </c>
      <c r="CN20" t="s">
        <v>193</v>
      </c>
      <c r="CO20" s="1">
        <v>42761</v>
      </c>
      <c r="CP20" s="1">
        <v>43634</v>
      </c>
    </row>
    <row r="21" spans="1:94" x14ac:dyDescent="0.25">
      <c r="A21" t="s">
        <v>194</v>
      </c>
      <c r="B21" t="str">
        <f xml:space="preserve"> "" &amp; 840254046108</f>
        <v>840254046108</v>
      </c>
      <c r="C21" t="s">
        <v>195</v>
      </c>
      <c r="D21" t="s">
        <v>196</v>
      </c>
      <c r="E21" t="s">
        <v>197</v>
      </c>
      <c r="F21" t="s">
        <v>186</v>
      </c>
      <c r="G21">
        <v>1</v>
      </c>
      <c r="H21">
        <v>1</v>
      </c>
      <c r="I21" t="s">
        <v>99</v>
      </c>
      <c r="J21" s="4">
        <v>75</v>
      </c>
      <c r="K21" s="4">
        <v>225</v>
      </c>
      <c r="O21" t="s">
        <v>100</v>
      </c>
      <c r="P21" s="4">
        <v>159.94999999999999</v>
      </c>
      <c r="S21">
        <v>21.75</v>
      </c>
      <c r="U21">
        <v>6.25</v>
      </c>
      <c r="V21">
        <v>7</v>
      </c>
      <c r="W21">
        <v>4.59</v>
      </c>
      <c r="X21">
        <v>1</v>
      </c>
      <c r="Y21">
        <v>8.25</v>
      </c>
      <c r="Z21">
        <v>16.5</v>
      </c>
      <c r="AA21">
        <v>11</v>
      </c>
      <c r="AB21">
        <v>0.86699999999999999</v>
      </c>
      <c r="AC21">
        <v>5.97</v>
      </c>
      <c r="AE21">
        <v>1</v>
      </c>
      <c r="AF21" t="s">
        <v>198</v>
      </c>
      <c r="AG21">
        <v>100</v>
      </c>
      <c r="AK21" t="s">
        <v>102</v>
      </c>
      <c r="AM21" t="s">
        <v>102</v>
      </c>
      <c r="AN21" t="s">
        <v>100</v>
      </c>
      <c r="AO21" t="s">
        <v>102</v>
      </c>
      <c r="AP21" t="s">
        <v>117</v>
      </c>
      <c r="AQ21" t="s">
        <v>104</v>
      </c>
      <c r="AV21" t="s">
        <v>102</v>
      </c>
      <c r="AX21" t="s">
        <v>199</v>
      </c>
      <c r="AZ21" t="s">
        <v>200</v>
      </c>
      <c r="BB21" t="s">
        <v>118</v>
      </c>
      <c r="BC21" t="s">
        <v>201</v>
      </c>
      <c r="BF21" t="s">
        <v>202</v>
      </c>
      <c r="BG21" t="s">
        <v>102</v>
      </c>
      <c r="BH21" t="s">
        <v>102</v>
      </c>
      <c r="BI21" t="s">
        <v>102</v>
      </c>
      <c r="BK21" t="s">
        <v>191</v>
      </c>
      <c r="BL21" t="s">
        <v>180</v>
      </c>
      <c r="BR21">
        <v>10</v>
      </c>
      <c r="BT21">
        <v>5.5</v>
      </c>
      <c r="CA21" t="s">
        <v>203</v>
      </c>
      <c r="CB21" t="s">
        <v>199</v>
      </c>
      <c r="CL21" t="s">
        <v>100</v>
      </c>
      <c r="CM21" t="s">
        <v>102</v>
      </c>
      <c r="CN21" t="s">
        <v>204</v>
      </c>
      <c r="CO21" s="1">
        <v>42387</v>
      </c>
      <c r="CP21" s="1">
        <v>43634</v>
      </c>
    </row>
    <row r="22" spans="1:94" x14ac:dyDescent="0.25">
      <c r="A22" t="s">
        <v>205</v>
      </c>
      <c r="B22" t="str">
        <f xml:space="preserve"> "" &amp; 840254046115</f>
        <v>840254046115</v>
      </c>
      <c r="C22" t="s">
        <v>206</v>
      </c>
      <c r="D22" t="s">
        <v>207</v>
      </c>
      <c r="E22" t="s">
        <v>197</v>
      </c>
      <c r="F22" t="s">
        <v>186</v>
      </c>
      <c r="G22">
        <v>1</v>
      </c>
      <c r="H22">
        <v>1</v>
      </c>
      <c r="I22" t="s">
        <v>99</v>
      </c>
      <c r="J22" s="4">
        <v>85</v>
      </c>
      <c r="K22" s="4">
        <v>255</v>
      </c>
      <c r="O22" t="s">
        <v>100</v>
      </c>
      <c r="P22" s="4">
        <v>179.95</v>
      </c>
      <c r="S22">
        <v>9.5</v>
      </c>
      <c r="U22">
        <v>16.25</v>
      </c>
      <c r="V22">
        <v>7.75</v>
      </c>
      <c r="W22">
        <v>6.24</v>
      </c>
      <c r="X22">
        <v>1</v>
      </c>
      <c r="Y22">
        <v>9.75</v>
      </c>
      <c r="Z22">
        <v>26.75</v>
      </c>
      <c r="AA22">
        <v>9</v>
      </c>
      <c r="AB22">
        <v>1.3580000000000001</v>
      </c>
      <c r="AC22">
        <v>8.14</v>
      </c>
      <c r="AE22">
        <v>2</v>
      </c>
      <c r="AF22" t="s">
        <v>198</v>
      </c>
      <c r="AG22">
        <v>100</v>
      </c>
      <c r="AK22" t="s">
        <v>102</v>
      </c>
      <c r="AM22" t="s">
        <v>102</v>
      </c>
      <c r="AN22" t="s">
        <v>100</v>
      </c>
      <c r="AO22" t="s">
        <v>102</v>
      </c>
      <c r="AP22" t="s">
        <v>117</v>
      </c>
      <c r="AQ22" t="s">
        <v>104</v>
      </c>
      <c r="AV22" t="s">
        <v>102</v>
      </c>
      <c r="AX22" t="s">
        <v>199</v>
      </c>
      <c r="AZ22" t="s">
        <v>200</v>
      </c>
      <c r="BB22" t="s">
        <v>118</v>
      </c>
      <c r="BC22" t="s">
        <v>201</v>
      </c>
      <c r="BF22" t="s">
        <v>208</v>
      </c>
      <c r="BG22" t="s">
        <v>102</v>
      </c>
      <c r="BH22" t="s">
        <v>102</v>
      </c>
      <c r="BI22" t="s">
        <v>102</v>
      </c>
      <c r="BK22" t="s">
        <v>191</v>
      </c>
      <c r="BL22" t="s">
        <v>180</v>
      </c>
      <c r="BR22">
        <v>5.5</v>
      </c>
      <c r="BT22">
        <v>10</v>
      </c>
      <c r="CA22" t="s">
        <v>209</v>
      </c>
      <c r="CB22" t="s">
        <v>199</v>
      </c>
      <c r="CL22" t="s">
        <v>100</v>
      </c>
      <c r="CM22" t="s">
        <v>102</v>
      </c>
      <c r="CN22" t="s">
        <v>204</v>
      </c>
      <c r="CO22" s="1">
        <v>42387</v>
      </c>
      <c r="CP22" s="1">
        <v>43634</v>
      </c>
    </row>
    <row r="23" spans="1:94" x14ac:dyDescent="0.25">
      <c r="A23" t="s">
        <v>210</v>
      </c>
      <c r="B23" t="str">
        <f xml:space="preserve"> "" &amp; 840254046122</f>
        <v>840254046122</v>
      </c>
      <c r="C23" t="s">
        <v>211</v>
      </c>
      <c r="D23" t="s">
        <v>212</v>
      </c>
      <c r="E23" t="s">
        <v>197</v>
      </c>
      <c r="F23" t="s">
        <v>186</v>
      </c>
      <c r="G23">
        <v>1</v>
      </c>
      <c r="H23">
        <v>1</v>
      </c>
      <c r="I23" t="s">
        <v>99</v>
      </c>
      <c r="J23" s="4">
        <v>115</v>
      </c>
      <c r="K23" s="4">
        <v>345</v>
      </c>
      <c r="O23" t="s">
        <v>100</v>
      </c>
      <c r="P23" s="4">
        <v>239.95</v>
      </c>
      <c r="S23">
        <v>9.5</v>
      </c>
      <c r="U23">
        <v>23.75</v>
      </c>
      <c r="V23">
        <v>7.75</v>
      </c>
      <c r="W23">
        <v>8.66</v>
      </c>
      <c r="X23">
        <v>1</v>
      </c>
      <c r="Y23">
        <v>9.5</v>
      </c>
      <c r="Z23">
        <v>28.25</v>
      </c>
      <c r="AA23">
        <v>15</v>
      </c>
      <c r="AB23">
        <v>2.33</v>
      </c>
      <c r="AC23">
        <v>11.24</v>
      </c>
      <c r="AE23">
        <v>3</v>
      </c>
      <c r="AF23" t="s">
        <v>198</v>
      </c>
      <c r="AG23">
        <v>100</v>
      </c>
      <c r="AK23" t="s">
        <v>102</v>
      </c>
      <c r="AM23" t="s">
        <v>102</v>
      </c>
      <c r="AN23" t="s">
        <v>100</v>
      </c>
      <c r="AO23" t="s">
        <v>102</v>
      </c>
      <c r="AP23" t="s">
        <v>117</v>
      </c>
      <c r="AQ23" t="s">
        <v>104</v>
      </c>
      <c r="AV23" t="s">
        <v>102</v>
      </c>
      <c r="AX23" t="s">
        <v>199</v>
      </c>
      <c r="AZ23" t="s">
        <v>200</v>
      </c>
      <c r="BB23" t="s">
        <v>118</v>
      </c>
      <c r="BC23" t="s">
        <v>201</v>
      </c>
      <c r="BF23" t="s">
        <v>213</v>
      </c>
      <c r="BG23" t="s">
        <v>102</v>
      </c>
      <c r="BH23" t="s">
        <v>102</v>
      </c>
      <c r="BI23" t="s">
        <v>102</v>
      </c>
      <c r="BK23" t="s">
        <v>191</v>
      </c>
      <c r="BL23" t="s">
        <v>214</v>
      </c>
      <c r="BR23">
        <v>5.5</v>
      </c>
      <c r="BT23">
        <v>10</v>
      </c>
      <c r="CA23" t="s">
        <v>215</v>
      </c>
      <c r="CB23" t="s">
        <v>199</v>
      </c>
      <c r="CL23" t="s">
        <v>100</v>
      </c>
      <c r="CM23" t="s">
        <v>102</v>
      </c>
      <c r="CN23" t="s">
        <v>204</v>
      </c>
      <c r="CO23" s="1">
        <v>42387</v>
      </c>
      <c r="CP23" s="1">
        <v>43634</v>
      </c>
    </row>
    <row r="24" spans="1:94" x14ac:dyDescent="0.25">
      <c r="A24" t="s">
        <v>216</v>
      </c>
      <c r="B24" t="str">
        <f xml:space="preserve"> "" &amp; 840254046139</f>
        <v>840254046139</v>
      </c>
      <c r="C24" t="s">
        <v>217</v>
      </c>
      <c r="D24" t="s">
        <v>218</v>
      </c>
      <c r="E24" t="s">
        <v>197</v>
      </c>
      <c r="F24" t="s">
        <v>186</v>
      </c>
      <c r="G24">
        <v>1</v>
      </c>
      <c r="H24">
        <v>1</v>
      </c>
      <c r="I24" t="s">
        <v>99</v>
      </c>
      <c r="J24" s="4">
        <v>150</v>
      </c>
      <c r="K24" s="4">
        <v>450</v>
      </c>
      <c r="O24" t="s">
        <v>100</v>
      </c>
      <c r="P24" s="4">
        <v>314.95</v>
      </c>
      <c r="S24">
        <v>10</v>
      </c>
      <c r="U24">
        <v>32.5</v>
      </c>
      <c r="V24">
        <v>7.75</v>
      </c>
      <c r="W24">
        <v>10.98</v>
      </c>
      <c r="X24">
        <v>1</v>
      </c>
      <c r="Y24">
        <v>9.5</v>
      </c>
      <c r="Z24">
        <v>37.5</v>
      </c>
      <c r="AA24">
        <v>15.25</v>
      </c>
      <c r="AB24">
        <v>3.1440000000000001</v>
      </c>
      <c r="AC24">
        <v>14.37</v>
      </c>
      <c r="AE24">
        <v>4</v>
      </c>
      <c r="AF24" t="s">
        <v>198</v>
      </c>
      <c r="AG24">
        <v>100</v>
      </c>
      <c r="AK24" t="s">
        <v>102</v>
      </c>
      <c r="AM24" t="s">
        <v>102</v>
      </c>
      <c r="AN24" t="s">
        <v>100</v>
      </c>
      <c r="AO24" t="s">
        <v>102</v>
      </c>
      <c r="AP24" t="s">
        <v>117</v>
      </c>
      <c r="AQ24" t="s">
        <v>104</v>
      </c>
      <c r="AV24" t="s">
        <v>102</v>
      </c>
      <c r="AX24" t="s">
        <v>199</v>
      </c>
      <c r="AZ24" t="s">
        <v>200</v>
      </c>
      <c r="BB24" t="s">
        <v>118</v>
      </c>
      <c r="BC24" t="s">
        <v>201</v>
      </c>
      <c r="BF24" t="s">
        <v>219</v>
      </c>
      <c r="BG24" t="s">
        <v>102</v>
      </c>
      <c r="BH24" t="s">
        <v>102</v>
      </c>
      <c r="BI24" t="s">
        <v>102</v>
      </c>
      <c r="BK24" t="s">
        <v>191</v>
      </c>
      <c r="BL24" t="s">
        <v>214</v>
      </c>
      <c r="BR24">
        <v>5.5</v>
      </c>
      <c r="BT24">
        <v>10</v>
      </c>
      <c r="CA24" t="s">
        <v>220</v>
      </c>
      <c r="CB24" t="s">
        <v>199</v>
      </c>
      <c r="CL24" t="s">
        <v>100</v>
      </c>
      <c r="CM24" t="s">
        <v>102</v>
      </c>
      <c r="CN24" t="s">
        <v>204</v>
      </c>
      <c r="CO24" s="1">
        <v>42387</v>
      </c>
      <c r="CP24" s="1">
        <v>43634</v>
      </c>
    </row>
    <row r="25" spans="1:94" x14ac:dyDescent="0.25">
      <c r="A25" t="s">
        <v>221</v>
      </c>
      <c r="B25" t="str">
        <f xml:space="preserve"> "" &amp; 840254047488</f>
        <v>840254047488</v>
      </c>
      <c r="C25" t="s">
        <v>222</v>
      </c>
      <c r="D25" t="s">
        <v>223</v>
      </c>
      <c r="E25" t="s">
        <v>224</v>
      </c>
      <c r="F25" t="s">
        <v>186</v>
      </c>
      <c r="G25">
        <v>1</v>
      </c>
      <c r="H25">
        <v>1</v>
      </c>
      <c r="I25" t="s">
        <v>99</v>
      </c>
      <c r="J25" s="4">
        <v>150</v>
      </c>
      <c r="K25" s="4">
        <v>450</v>
      </c>
      <c r="O25" t="s">
        <v>100</v>
      </c>
      <c r="P25" s="4">
        <v>314.95</v>
      </c>
      <c r="S25">
        <v>7.5</v>
      </c>
      <c r="U25">
        <v>29</v>
      </c>
      <c r="V25">
        <v>5.5</v>
      </c>
      <c r="W25">
        <v>10.63</v>
      </c>
      <c r="X25">
        <v>1</v>
      </c>
      <c r="Y25">
        <v>10.25</v>
      </c>
      <c r="Z25">
        <v>31.63</v>
      </c>
      <c r="AA25">
        <v>8</v>
      </c>
      <c r="AB25">
        <v>1.5009999999999999</v>
      </c>
      <c r="AC25">
        <v>12.59</v>
      </c>
      <c r="AE25">
        <v>5</v>
      </c>
      <c r="AF25" t="s">
        <v>187</v>
      </c>
      <c r="AG25">
        <v>60</v>
      </c>
      <c r="AK25" t="s">
        <v>102</v>
      </c>
      <c r="AM25" t="s">
        <v>102</v>
      </c>
      <c r="AN25" t="s">
        <v>100</v>
      </c>
      <c r="AO25" t="s">
        <v>102</v>
      </c>
      <c r="AP25" t="s">
        <v>117</v>
      </c>
      <c r="AQ25" t="s">
        <v>104</v>
      </c>
      <c r="AV25" t="s">
        <v>102</v>
      </c>
      <c r="AX25" t="s">
        <v>225</v>
      </c>
      <c r="AZ25" t="s">
        <v>189</v>
      </c>
      <c r="BB25" t="s">
        <v>118</v>
      </c>
      <c r="BC25" t="s">
        <v>226</v>
      </c>
      <c r="BF25" t="s">
        <v>227</v>
      </c>
      <c r="BG25" t="s">
        <v>102</v>
      </c>
      <c r="BH25" t="s">
        <v>102</v>
      </c>
      <c r="BI25" t="s">
        <v>102</v>
      </c>
      <c r="BK25" t="s">
        <v>191</v>
      </c>
      <c r="BM25">
        <v>28.88</v>
      </c>
      <c r="BN25">
        <v>7.5</v>
      </c>
      <c r="CA25" t="s">
        <v>228</v>
      </c>
      <c r="CB25" t="s">
        <v>225</v>
      </c>
      <c r="CL25" t="s">
        <v>100</v>
      </c>
      <c r="CM25" t="s">
        <v>102</v>
      </c>
      <c r="CN25" t="s">
        <v>229</v>
      </c>
      <c r="CO25" s="1">
        <v>42762</v>
      </c>
      <c r="CP25" s="1">
        <v>43634</v>
      </c>
    </row>
    <row r="26" spans="1:94" x14ac:dyDescent="0.25">
      <c r="A26" t="s">
        <v>232</v>
      </c>
      <c r="B26" t="str">
        <f xml:space="preserve"> "" &amp; 840254047327</f>
        <v>840254047327</v>
      </c>
      <c r="C26" t="s">
        <v>233</v>
      </c>
      <c r="D26" t="s">
        <v>234</v>
      </c>
      <c r="E26" t="s">
        <v>235</v>
      </c>
      <c r="F26" t="s">
        <v>186</v>
      </c>
      <c r="G26">
        <v>1</v>
      </c>
      <c r="H26">
        <v>1</v>
      </c>
      <c r="I26" t="s">
        <v>99</v>
      </c>
      <c r="J26" s="4">
        <v>150</v>
      </c>
      <c r="K26" s="4">
        <v>450</v>
      </c>
      <c r="O26" t="s">
        <v>100</v>
      </c>
      <c r="P26" s="4">
        <v>314.95</v>
      </c>
      <c r="S26">
        <v>12.75</v>
      </c>
      <c r="U26">
        <v>5</v>
      </c>
      <c r="V26">
        <v>3</v>
      </c>
      <c r="W26">
        <v>6.66</v>
      </c>
      <c r="X26">
        <v>1</v>
      </c>
      <c r="Y26">
        <v>8</v>
      </c>
      <c r="Z26">
        <v>15.75</v>
      </c>
      <c r="AA26">
        <v>4.375</v>
      </c>
      <c r="AB26">
        <v>0.31900000000000001</v>
      </c>
      <c r="AC26">
        <v>7.52</v>
      </c>
      <c r="AE26">
        <v>1</v>
      </c>
      <c r="AF26" t="s">
        <v>236</v>
      </c>
      <c r="AG26">
        <v>10</v>
      </c>
      <c r="AK26" t="s">
        <v>100</v>
      </c>
      <c r="AM26" t="s">
        <v>102</v>
      </c>
      <c r="AN26" t="s">
        <v>100</v>
      </c>
      <c r="AO26" t="s">
        <v>102</v>
      </c>
      <c r="AP26" t="s">
        <v>117</v>
      </c>
      <c r="AQ26" t="s">
        <v>104</v>
      </c>
      <c r="AV26" t="s">
        <v>102</v>
      </c>
      <c r="AX26" t="s">
        <v>168</v>
      </c>
      <c r="AZ26" t="s">
        <v>189</v>
      </c>
      <c r="BB26" t="s">
        <v>118</v>
      </c>
      <c r="BC26" t="s">
        <v>237</v>
      </c>
      <c r="BF26" t="s">
        <v>238</v>
      </c>
      <c r="BG26" t="s">
        <v>102</v>
      </c>
      <c r="BH26" t="s">
        <v>100</v>
      </c>
      <c r="BI26" t="s">
        <v>102</v>
      </c>
      <c r="BK26" t="s">
        <v>191</v>
      </c>
      <c r="BL26" t="s">
        <v>180</v>
      </c>
      <c r="BM26">
        <v>5</v>
      </c>
      <c r="BN26">
        <v>5</v>
      </c>
      <c r="CA26" t="s">
        <v>239</v>
      </c>
      <c r="CB26" t="s">
        <v>168</v>
      </c>
      <c r="CG26">
        <v>3000</v>
      </c>
      <c r="CH26">
        <v>92</v>
      </c>
      <c r="CI26">
        <v>526</v>
      </c>
      <c r="CJ26">
        <v>323</v>
      </c>
      <c r="CK26">
        <v>30000</v>
      </c>
      <c r="CL26" t="s">
        <v>100</v>
      </c>
      <c r="CM26" t="s">
        <v>102</v>
      </c>
      <c r="CN26" t="s">
        <v>240</v>
      </c>
      <c r="CO26" s="1">
        <v>42761</v>
      </c>
      <c r="CP26" s="1">
        <v>43634</v>
      </c>
    </row>
    <row r="27" spans="1:94" x14ac:dyDescent="0.25">
      <c r="A27" t="s">
        <v>241</v>
      </c>
      <c r="B27" t="str">
        <f xml:space="preserve"> "" &amp; 840254047341</f>
        <v>840254047341</v>
      </c>
      <c r="C27" t="s">
        <v>233</v>
      </c>
      <c r="D27" t="s">
        <v>234</v>
      </c>
      <c r="E27" t="s">
        <v>235</v>
      </c>
      <c r="F27" t="s">
        <v>186</v>
      </c>
      <c r="G27">
        <v>1</v>
      </c>
      <c r="H27">
        <v>1</v>
      </c>
      <c r="I27" t="s">
        <v>99</v>
      </c>
      <c r="J27" s="4">
        <v>350</v>
      </c>
      <c r="K27" s="4">
        <v>1050</v>
      </c>
      <c r="O27" t="s">
        <v>100</v>
      </c>
      <c r="P27" s="4">
        <v>734.95</v>
      </c>
      <c r="S27">
        <v>5.25</v>
      </c>
      <c r="U27">
        <v>30</v>
      </c>
      <c r="V27">
        <v>4.5</v>
      </c>
      <c r="W27">
        <v>17.989999999999998</v>
      </c>
      <c r="X27">
        <v>1</v>
      </c>
      <c r="Y27">
        <v>9.25</v>
      </c>
      <c r="Z27">
        <v>38.75</v>
      </c>
      <c r="AA27">
        <v>8.75</v>
      </c>
      <c r="AB27">
        <v>1.8149999999999999</v>
      </c>
      <c r="AC27">
        <v>21.05</v>
      </c>
      <c r="AE27">
        <v>1</v>
      </c>
      <c r="AF27" t="s">
        <v>236</v>
      </c>
      <c r="AG27">
        <v>10</v>
      </c>
      <c r="AH27">
        <v>1</v>
      </c>
      <c r="AI27" t="s">
        <v>236</v>
      </c>
      <c r="AJ27">
        <v>27</v>
      </c>
      <c r="AK27" t="s">
        <v>100</v>
      </c>
      <c r="AM27" t="s">
        <v>102</v>
      </c>
      <c r="AN27" t="s">
        <v>100</v>
      </c>
      <c r="AO27" t="s">
        <v>102</v>
      </c>
      <c r="AP27" t="s">
        <v>117</v>
      </c>
      <c r="AQ27" t="s">
        <v>104</v>
      </c>
      <c r="AV27" t="s">
        <v>102</v>
      </c>
      <c r="AX27" t="s">
        <v>168</v>
      </c>
      <c r="AZ27" t="s">
        <v>189</v>
      </c>
      <c r="BB27" t="s">
        <v>118</v>
      </c>
      <c r="BC27" t="s">
        <v>242</v>
      </c>
      <c r="BF27" t="s">
        <v>243</v>
      </c>
      <c r="BG27" t="s">
        <v>102</v>
      </c>
      <c r="BH27" t="s">
        <v>102</v>
      </c>
      <c r="BI27" t="s">
        <v>102</v>
      </c>
      <c r="BK27" t="s">
        <v>191</v>
      </c>
      <c r="BL27" t="s">
        <v>244</v>
      </c>
      <c r="BM27">
        <v>5</v>
      </c>
      <c r="BN27">
        <v>5</v>
      </c>
      <c r="CA27" t="s">
        <v>245</v>
      </c>
      <c r="CB27" t="s">
        <v>168</v>
      </c>
      <c r="CG27">
        <v>3000</v>
      </c>
      <c r="CH27">
        <v>92</v>
      </c>
      <c r="CI27">
        <v>2286</v>
      </c>
      <c r="CJ27">
        <v>1434</v>
      </c>
      <c r="CK27">
        <v>30000</v>
      </c>
      <c r="CL27" t="s">
        <v>100</v>
      </c>
      <c r="CM27" t="s">
        <v>102</v>
      </c>
      <c r="CN27" t="s">
        <v>240</v>
      </c>
      <c r="CO27" s="1">
        <v>42761</v>
      </c>
      <c r="CP27" s="1">
        <v>43634</v>
      </c>
    </row>
    <row r="28" spans="1:94" x14ac:dyDescent="0.25">
      <c r="A28" t="s">
        <v>246</v>
      </c>
      <c r="B28" t="str">
        <f xml:space="preserve"> "" &amp; 840254044128</f>
        <v>840254044128</v>
      </c>
      <c r="C28" t="s">
        <v>233</v>
      </c>
      <c r="D28" t="s">
        <v>247</v>
      </c>
      <c r="E28" t="s">
        <v>248</v>
      </c>
      <c r="F28" t="s">
        <v>186</v>
      </c>
      <c r="G28">
        <v>1</v>
      </c>
      <c r="H28">
        <v>1</v>
      </c>
      <c r="I28" t="s">
        <v>99</v>
      </c>
      <c r="J28" s="4">
        <v>95</v>
      </c>
      <c r="K28" s="4">
        <v>285</v>
      </c>
      <c r="S28">
        <v>6</v>
      </c>
      <c r="T28">
        <v>11.5</v>
      </c>
      <c r="U28">
        <v>9.25</v>
      </c>
      <c r="V28">
        <v>3</v>
      </c>
      <c r="W28">
        <v>3.62</v>
      </c>
      <c r="X28">
        <v>1</v>
      </c>
      <c r="Y28">
        <v>7.5</v>
      </c>
      <c r="Z28">
        <v>11.5</v>
      </c>
      <c r="AA28">
        <v>8.25</v>
      </c>
      <c r="AB28">
        <v>0.41199999999999998</v>
      </c>
      <c r="AC28">
        <v>4.37</v>
      </c>
      <c r="AE28">
        <v>1</v>
      </c>
      <c r="AF28" t="s">
        <v>236</v>
      </c>
      <c r="AG28">
        <v>14</v>
      </c>
      <c r="AK28" t="s">
        <v>100</v>
      </c>
      <c r="AM28" t="s">
        <v>102</v>
      </c>
      <c r="AN28" t="s">
        <v>100</v>
      </c>
      <c r="AO28" t="s">
        <v>102</v>
      </c>
      <c r="AP28" t="s">
        <v>117</v>
      </c>
      <c r="AQ28" t="s">
        <v>104</v>
      </c>
      <c r="AV28" t="s">
        <v>102</v>
      </c>
      <c r="AX28" t="s">
        <v>168</v>
      </c>
      <c r="BC28" t="s">
        <v>249</v>
      </c>
      <c r="BF28" t="s">
        <v>250</v>
      </c>
      <c r="BG28" t="s">
        <v>102</v>
      </c>
      <c r="BH28" t="s">
        <v>100</v>
      </c>
      <c r="BI28" t="s">
        <v>102</v>
      </c>
      <c r="BK28" t="s">
        <v>191</v>
      </c>
      <c r="BR28">
        <v>6</v>
      </c>
      <c r="BT28">
        <v>9.1300000000000008</v>
      </c>
      <c r="CA28" t="s">
        <v>251</v>
      </c>
      <c r="CB28" t="s">
        <v>168</v>
      </c>
      <c r="CG28">
        <v>3000</v>
      </c>
      <c r="CH28">
        <v>94</v>
      </c>
      <c r="CI28">
        <v>1236.0999999999999</v>
      </c>
      <c r="CJ28">
        <v>747.5</v>
      </c>
      <c r="CK28">
        <v>30000</v>
      </c>
      <c r="CL28" t="s">
        <v>102</v>
      </c>
      <c r="CM28" t="s">
        <v>102</v>
      </c>
      <c r="CN28" t="s">
        <v>252</v>
      </c>
      <c r="CO28" s="1">
        <v>42133</v>
      </c>
      <c r="CP28" s="1">
        <v>43634</v>
      </c>
    </row>
    <row r="29" spans="1:94" x14ac:dyDescent="0.25">
      <c r="A29" t="s">
        <v>253</v>
      </c>
      <c r="B29" t="str">
        <f xml:space="preserve"> "" &amp; 840254044135</f>
        <v>840254044135</v>
      </c>
      <c r="C29" t="s">
        <v>233</v>
      </c>
      <c r="D29" t="s">
        <v>247</v>
      </c>
      <c r="E29" t="s">
        <v>248</v>
      </c>
      <c r="F29" t="s">
        <v>186</v>
      </c>
      <c r="G29">
        <v>1</v>
      </c>
      <c r="H29">
        <v>1</v>
      </c>
      <c r="I29" t="s">
        <v>99</v>
      </c>
      <c r="J29" s="4">
        <v>135</v>
      </c>
      <c r="K29" s="4">
        <v>405</v>
      </c>
      <c r="S29">
        <v>6</v>
      </c>
      <c r="T29">
        <v>18.5</v>
      </c>
      <c r="U29">
        <v>16.25</v>
      </c>
      <c r="V29">
        <v>3</v>
      </c>
      <c r="W29">
        <v>5.84</v>
      </c>
      <c r="X29">
        <v>1</v>
      </c>
      <c r="Y29">
        <v>7.5</v>
      </c>
      <c r="Z29">
        <v>18.5</v>
      </c>
      <c r="AA29">
        <v>8.25</v>
      </c>
      <c r="AB29">
        <v>0.66200000000000003</v>
      </c>
      <c r="AC29">
        <v>6.83</v>
      </c>
      <c r="AE29">
        <v>1</v>
      </c>
      <c r="AF29" t="s">
        <v>236</v>
      </c>
      <c r="AG29">
        <v>26</v>
      </c>
      <c r="AK29" t="s">
        <v>100</v>
      </c>
      <c r="AM29" t="s">
        <v>102</v>
      </c>
      <c r="AN29" t="s">
        <v>100</v>
      </c>
      <c r="AO29" t="s">
        <v>102</v>
      </c>
      <c r="AP29" t="s">
        <v>117</v>
      </c>
      <c r="AQ29" t="s">
        <v>104</v>
      </c>
      <c r="AV29" t="s">
        <v>102</v>
      </c>
      <c r="AX29" t="s">
        <v>168</v>
      </c>
      <c r="BC29" t="s">
        <v>249</v>
      </c>
      <c r="BF29" t="s">
        <v>254</v>
      </c>
      <c r="BG29" t="s">
        <v>102</v>
      </c>
      <c r="BH29" t="s">
        <v>100</v>
      </c>
      <c r="BI29" t="s">
        <v>102</v>
      </c>
      <c r="BK29" t="s">
        <v>191</v>
      </c>
      <c r="BR29">
        <v>6</v>
      </c>
      <c r="BT29">
        <v>16.25</v>
      </c>
      <c r="CA29" t="s">
        <v>255</v>
      </c>
      <c r="CB29" t="s">
        <v>168</v>
      </c>
      <c r="CG29">
        <v>3000</v>
      </c>
      <c r="CH29">
        <v>98</v>
      </c>
      <c r="CI29">
        <v>1679.4</v>
      </c>
      <c r="CJ29">
        <v>1182.4000000000001</v>
      </c>
      <c r="CK29">
        <v>30000</v>
      </c>
      <c r="CL29" t="s">
        <v>102</v>
      </c>
      <c r="CM29" t="s">
        <v>102</v>
      </c>
      <c r="CN29" t="s">
        <v>252</v>
      </c>
      <c r="CO29" s="1">
        <v>42133</v>
      </c>
      <c r="CP29" s="1">
        <v>43634</v>
      </c>
    </row>
    <row r="30" spans="1:94" x14ac:dyDescent="0.25">
      <c r="A30" t="s">
        <v>256</v>
      </c>
      <c r="B30" t="str">
        <f xml:space="preserve"> "" &amp; 840254044142</f>
        <v>840254044142</v>
      </c>
      <c r="C30" t="s">
        <v>233</v>
      </c>
      <c r="D30" t="s">
        <v>247</v>
      </c>
      <c r="E30" t="s">
        <v>248</v>
      </c>
      <c r="F30" t="s">
        <v>186</v>
      </c>
      <c r="G30">
        <v>1</v>
      </c>
      <c r="H30">
        <v>1</v>
      </c>
      <c r="I30" t="s">
        <v>99</v>
      </c>
      <c r="J30" s="4">
        <v>175</v>
      </c>
      <c r="K30" s="4">
        <v>525</v>
      </c>
      <c r="S30">
        <v>6</v>
      </c>
      <c r="U30">
        <v>23.5</v>
      </c>
      <c r="V30">
        <v>3</v>
      </c>
      <c r="W30">
        <v>8.0500000000000007</v>
      </c>
      <c r="X30">
        <v>1</v>
      </c>
      <c r="Y30">
        <v>7.5</v>
      </c>
      <c r="Z30">
        <v>26</v>
      </c>
      <c r="AA30">
        <v>8.5</v>
      </c>
      <c r="AB30">
        <v>0.95899999999999996</v>
      </c>
      <c r="AC30">
        <v>9.5</v>
      </c>
      <c r="AE30">
        <v>1</v>
      </c>
      <c r="AF30" t="s">
        <v>236</v>
      </c>
      <c r="AG30">
        <v>33</v>
      </c>
      <c r="AK30" t="s">
        <v>100</v>
      </c>
      <c r="AM30" t="s">
        <v>102</v>
      </c>
      <c r="AN30" t="s">
        <v>100</v>
      </c>
      <c r="AO30" t="s">
        <v>102</v>
      </c>
      <c r="AP30" t="s">
        <v>117</v>
      </c>
      <c r="AQ30" t="s">
        <v>104</v>
      </c>
      <c r="AV30" t="s">
        <v>102</v>
      </c>
      <c r="AX30" t="s">
        <v>168</v>
      </c>
      <c r="BC30" t="s">
        <v>249</v>
      </c>
      <c r="BF30" t="s">
        <v>257</v>
      </c>
      <c r="BG30" t="s">
        <v>102</v>
      </c>
      <c r="BH30" t="s">
        <v>100</v>
      </c>
      <c r="BI30" t="s">
        <v>102</v>
      </c>
      <c r="BK30" t="s">
        <v>191</v>
      </c>
      <c r="BR30">
        <v>6</v>
      </c>
      <c r="BT30">
        <v>23.38</v>
      </c>
      <c r="CA30" t="s">
        <v>258</v>
      </c>
      <c r="CB30" t="s">
        <v>168</v>
      </c>
      <c r="CG30">
        <v>3000</v>
      </c>
      <c r="CH30">
        <v>94</v>
      </c>
      <c r="CI30">
        <v>2609.6999999999998</v>
      </c>
      <c r="CJ30">
        <v>1763.7</v>
      </c>
      <c r="CK30">
        <v>30000</v>
      </c>
      <c r="CL30" t="s">
        <v>102</v>
      </c>
      <c r="CM30" t="s">
        <v>102</v>
      </c>
      <c r="CN30" t="s">
        <v>252</v>
      </c>
      <c r="CO30" s="1">
        <v>42133</v>
      </c>
      <c r="CP30" s="1">
        <v>43634</v>
      </c>
    </row>
    <row r="31" spans="1:94" x14ac:dyDescent="0.25">
      <c r="A31" t="s">
        <v>259</v>
      </c>
      <c r="B31" t="str">
        <f xml:space="preserve"> "" &amp; 840254044159</f>
        <v>840254044159</v>
      </c>
      <c r="C31" t="s">
        <v>233</v>
      </c>
      <c r="D31" t="s">
        <v>247</v>
      </c>
      <c r="E31" t="s">
        <v>248</v>
      </c>
      <c r="F31" t="s">
        <v>186</v>
      </c>
      <c r="G31">
        <v>1</v>
      </c>
      <c r="H31">
        <v>1</v>
      </c>
      <c r="I31" t="s">
        <v>99</v>
      </c>
      <c r="J31" s="4">
        <v>215</v>
      </c>
      <c r="K31" s="4">
        <v>645</v>
      </c>
      <c r="S31">
        <v>6</v>
      </c>
      <c r="U31">
        <v>32</v>
      </c>
      <c r="V31">
        <v>3</v>
      </c>
      <c r="W31">
        <v>10.56</v>
      </c>
      <c r="X31">
        <v>1</v>
      </c>
      <c r="Y31">
        <v>7.5</v>
      </c>
      <c r="Z31">
        <v>35</v>
      </c>
      <c r="AA31">
        <v>8.5</v>
      </c>
      <c r="AB31">
        <v>1.2909999999999999</v>
      </c>
      <c r="AC31">
        <v>12.37</v>
      </c>
      <c r="AE31">
        <v>1</v>
      </c>
      <c r="AF31" t="s">
        <v>236</v>
      </c>
      <c r="AG31">
        <v>39</v>
      </c>
      <c r="AK31" t="s">
        <v>100</v>
      </c>
      <c r="AM31" t="s">
        <v>102</v>
      </c>
      <c r="AN31" t="s">
        <v>100</v>
      </c>
      <c r="AO31" t="s">
        <v>102</v>
      </c>
      <c r="AP31" t="s">
        <v>117</v>
      </c>
      <c r="AQ31" t="s">
        <v>104</v>
      </c>
      <c r="AV31" t="s">
        <v>102</v>
      </c>
      <c r="AX31" t="s">
        <v>168</v>
      </c>
      <c r="BC31" t="s">
        <v>260</v>
      </c>
      <c r="BF31" t="s">
        <v>261</v>
      </c>
      <c r="BG31" t="s">
        <v>102</v>
      </c>
      <c r="BH31" t="s">
        <v>100</v>
      </c>
      <c r="BI31" t="s">
        <v>102</v>
      </c>
      <c r="BK31" t="s">
        <v>191</v>
      </c>
      <c r="BR31">
        <v>6</v>
      </c>
      <c r="BT31">
        <v>32</v>
      </c>
      <c r="CA31" t="s">
        <v>262</v>
      </c>
      <c r="CB31" t="s">
        <v>168</v>
      </c>
      <c r="CG31">
        <v>3000</v>
      </c>
      <c r="CH31">
        <v>98</v>
      </c>
      <c r="CI31">
        <v>3275.9</v>
      </c>
      <c r="CJ31">
        <v>1876.9</v>
      </c>
      <c r="CK31">
        <v>30000</v>
      </c>
      <c r="CL31" t="s">
        <v>102</v>
      </c>
      <c r="CM31" t="s">
        <v>102</v>
      </c>
      <c r="CN31" t="s">
        <v>252</v>
      </c>
      <c r="CO31" s="1">
        <v>42133</v>
      </c>
      <c r="CP31" s="1">
        <v>43634</v>
      </c>
    </row>
    <row r="32" spans="1:94" x14ac:dyDescent="0.25">
      <c r="A32" t="s">
        <v>263</v>
      </c>
      <c r="B32" t="str">
        <f xml:space="preserve"> "" &amp; 840254046184</f>
        <v>840254046184</v>
      </c>
      <c r="C32" t="s">
        <v>195</v>
      </c>
      <c r="D32" t="s">
        <v>264</v>
      </c>
      <c r="E32" t="s">
        <v>265</v>
      </c>
      <c r="F32" t="s">
        <v>186</v>
      </c>
      <c r="G32">
        <v>1</v>
      </c>
      <c r="H32">
        <v>1</v>
      </c>
      <c r="I32" t="s">
        <v>99</v>
      </c>
      <c r="J32" s="4">
        <v>185</v>
      </c>
      <c r="K32" s="4">
        <v>555</v>
      </c>
      <c r="O32" t="s">
        <v>100</v>
      </c>
      <c r="P32" s="4">
        <v>389.95</v>
      </c>
      <c r="S32">
        <v>7.5</v>
      </c>
      <c r="U32">
        <v>11</v>
      </c>
      <c r="V32">
        <v>5.75</v>
      </c>
      <c r="W32">
        <v>9.6999999999999993</v>
      </c>
      <c r="X32">
        <v>1</v>
      </c>
      <c r="Y32">
        <v>14.5</v>
      </c>
      <c r="Z32">
        <v>13</v>
      </c>
      <c r="AA32">
        <v>11.38</v>
      </c>
      <c r="AB32">
        <v>1.2410000000000001</v>
      </c>
      <c r="AC32">
        <v>11.02</v>
      </c>
      <c r="AE32">
        <v>1</v>
      </c>
      <c r="AF32" t="s">
        <v>167</v>
      </c>
      <c r="AG32">
        <v>60</v>
      </c>
      <c r="AK32" t="s">
        <v>102</v>
      </c>
      <c r="AM32" t="s">
        <v>102</v>
      </c>
      <c r="AN32" t="s">
        <v>100</v>
      </c>
      <c r="AO32" t="s">
        <v>102</v>
      </c>
      <c r="AP32" t="s">
        <v>117</v>
      </c>
      <c r="AQ32" t="s">
        <v>104</v>
      </c>
      <c r="AV32" t="s">
        <v>102</v>
      </c>
      <c r="AX32" t="s">
        <v>266</v>
      </c>
      <c r="AZ32" t="s">
        <v>189</v>
      </c>
      <c r="BB32" t="s">
        <v>267</v>
      </c>
      <c r="BC32" t="s">
        <v>268</v>
      </c>
      <c r="BD32" t="s">
        <v>269</v>
      </c>
      <c r="BF32" t="s">
        <v>270</v>
      </c>
      <c r="BG32" t="s">
        <v>102</v>
      </c>
      <c r="BH32" t="s">
        <v>102</v>
      </c>
      <c r="BI32" t="s">
        <v>102</v>
      </c>
      <c r="BK32" t="s">
        <v>191</v>
      </c>
      <c r="BL32" t="s">
        <v>180</v>
      </c>
      <c r="BM32">
        <v>8.8800000000000008</v>
      </c>
      <c r="BN32">
        <v>7.5</v>
      </c>
      <c r="CA32" t="s">
        <v>271</v>
      </c>
      <c r="CB32" t="s">
        <v>266</v>
      </c>
      <c r="CL32" t="s">
        <v>100</v>
      </c>
      <c r="CM32" t="s">
        <v>102</v>
      </c>
      <c r="CN32" t="s">
        <v>272</v>
      </c>
      <c r="CO32" s="1">
        <v>42335</v>
      </c>
      <c r="CP32" s="1">
        <v>43634</v>
      </c>
    </row>
    <row r="33" spans="1:94" x14ac:dyDescent="0.25">
      <c r="A33" t="s">
        <v>273</v>
      </c>
      <c r="B33" t="str">
        <f xml:space="preserve"> "" &amp; 840254046191</f>
        <v>840254046191</v>
      </c>
      <c r="C33" t="s">
        <v>211</v>
      </c>
      <c r="D33" t="s">
        <v>274</v>
      </c>
      <c r="E33" t="s">
        <v>265</v>
      </c>
      <c r="F33" t="s">
        <v>186</v>
      </c>
      <c r="G33">
        <v>1</v>
      </c>
      <c r="H33">
        <v>1</v>
      </c>
      <c r="I33" t="s">
        <v>99</v>
      </c>
      <c r="J33" s="4">
        <v>245</v>
      </c>
      <c r="K33" s="4">
        <v>735</v>
      </c>
      <c r="O33" t="s">
        <v>100</v>
      </c>
      <c r="P33" s="4">
        <v>514.95000000000005</v>
      </c>
      <c r="S33">
        <v>7.5</v>
      </c>
      <c r="U33">
        <v>17</v>
      </c>
      <c r="V33">
        <v>5.75</v>
      </c>
      <c r="W33">
        <v>13.89</v>
      </c>
      <c r="X33">
        <v>1</v>
      </c>
      <c r="Y33">
        <v>14.5</v>
      </c>
      <c r="Z33">
        <v>19.63</v>
      </c>
      <c r="AA33">
        <v>11.88</v>
      </c>
      <c r="AB33">
        <v>1.9570000000000001</v>
      </c>
      <c r="AC33">
        <v>15.65</v>
      </c>
      <c r="AE33">
        <v>3</v>
      </c>
      <c r="AF33" t="s">
        <v>167</v>
      </c>
      <c r="AG33">
        <v>60</v>
      </c>
      <c r="AK33" t="s">
        <v>102</v>
      </c>
      <c r="AM33" t="s">
        <v>102</v>
      </c>
      <c r="AN33" t="s">
        <v>100</v>
      </c>
      <c r="AO33" t="s">
        <v>102</v>
      </c>
      <c r="AP33" t="s">
        <v>117</v>
      </c>
      <c r="AQ33" t="s">
        <v>104</v>
      </c>
      <c r="AV33" t="s">
        <v>102</v>
      </c>
      <c r="AX33" t="s">
        <v>266</v>
      </c>
      <c r="AZ33" t="s">
        <v>200</v>
      </c>
      <c r="BB33" t="s">
        <v>267</v>
      </c>
      <c r="BC33" t="s">
        <v>275</v>
      </c>
      <c r="BD33" t="s">
        <v>276</v>
      </c>
      <c r="BF33" t="s">
        <v>277</v>
      </c>
      <c r="BG33" t="s">
        <v>102</v>
      </c>
      <c r="BH33" t="s">
        <v>102</v>
      </c>
      <c r="BI33" t="s">
        <v>102</v>
      </c>
      <c r="BK33" t="s">
        <v>191</v>
      </c>
      <c r="BL33" t="s">
        <v>180</v>
      </c>
      <c r="BM33">
        <v>14.75</v>
      </c>
      <c r="BN33">
        <v>7.5</v>
      </c>
      <c r="CA33" t="s">
        <v>278</v>
      </c>
      <c r="CB33" t="s">
        <v>266</v>
      </c>
      <c r="CL33" t="s">
        <v>100</v>
      </c>
      <c r="CM33" t="s">
        <v>102</v>
      </c>
      <c r="CN33" t="s">
        <v>279</v>
      </c>
      <c r="CO33" s="1">
        <v>42335</v>
      </c>
      <c r="CP33" s="1">
        <v>43634</v>
      </c>
    </row>
    <row r="34" spans="1:94" x14ac:dyDescent="0.25">
      <c r="A34" t="s">
        <v>280</v>
      </c>
      <c r="B34" t="str">
        <f xml:space="preserve"> "" &amp; 840254046207</f>
        <v>840254046207</v>
      </c>
      <c r="C34" t="s">
        <v>217</v>
      </c>
      <c r="D34" t="s">
        <v>281</v>
      </c>
      <c r="E34" t="s">
        <v>265</v>
      </c>
      <c r="F34" t="s">
        <v>186</v>
      </c>
      <c r="G34">
        <v>1</v>
      </c>
      <c r="H34">
        <v>1</v>
      </c>
      <c r="I34" t="s">
        <v>99</v>
      </c>
      <c r="J34" s="4">
        <v>295</v>
      </c>
      <c r="K34" s="4">
        <v>885</v>
      </c>
      <c r="O34" t="s">
        <v>100</v>
      </c>
      <c r="P34" s="4">
        <v>619.95000000000005</v>
      </c>
      <c r="S34">
        <v>7.5</v>
      </c>
      <c r="U34">
        <v>24.5</v>
      </c>
      <c r="V34">
        <v>5.75</v>
      </c>
      <c r="W34">
        <v>18.36</v>
      </c>
      <c r="X34">
        <v>1</v>
      </c>
      <c r="Y34">
        <v>14.5</v>
      </c>
      <c r="Z34">
        <v>26.25</v>
      </c>
      <c r="AA34">
        <v>11</v>
      </c>
      <c r="AB34">
        <v>2.423</v>
      </c>
      <c r="AC34">
        <v>20.94</v>
      </c>
      <c r="AE34">
        <v>4</v>
      </c>
      <c r="AF34" t="s">
        <v>167</v>
      </c>
      <c r="AG34">
        <v>60</v>
      </c>
      <c r="AK34" t="s">
        <v>102</v>
      </c>
      <c r="AM34" t="s">
        <v>102</v>
      </c>
      <c r="AN34" t="s">
        <v>100</v>
      </c>
      <c r="AO34" t="s">
        <v>102</v>
      </c>
      <c r="AP34" t="s">
        <v>117</v>
      </c>
      <c r="AQ34" t="s">
        <v>104</v>
      </c>
      <c r="AV34" t="s">
        <v>102</v>
      </c>
      <c r="AX34" t="s">
        <v>266</v>
      </c>
      <c r="AZ34" t="s">
        <v>189</v>
      </c>
      <c r="BB34" t="s">
        <v>267</v>
      </c>
      <c r="BC34" t="s">
        <v>275</v>
      </c>
      <c r="BD34" t="s">
        <v>269</v>
      </c>
      <c r="BF34" t="s">
        <v>282</v>
      </c>
      <c r="BG34" t="s">
        <v>102</v>
      </c>
      <c r="BH34" t="s">
        <v>102</v>
      </c>
      <c r="BI34" t="s">
        <v>102</v>
      </c>
      <c r="BK34" t="s">
        <v>191</v>
      </c>
      <c r="BL34" t="s">
        <v>180</v>
      </c>
      <c r="BR34">
        <v>7.5</v>
      </c>
      <c r="BT34">
        <v>22.25</v>
      </c>
      <c r="CA34" t="s">
        <v>283</v>
      </c>
      <c r="CB34" t="s">
        <v>266</v>
      </c>
      <c r="CL34" t="s">
        <v>100</v>
      </c>
      <c r="CM34" t="s">
        <v>102</v>
      </c>
      <c r="CN34" t="s">
        <v>272</v>
      </c>
      <c r="CO34" s="1">
        <v>42336</v>
      </c>
      <c r="CP34" s="1">
        <v>43634</v>
      </c>
    </row>
    <row r="35" spans="1:94" x14ac:dyDescent="0.25">
      <c r="A35" t="s">
        <v>284</v>
      </c>
      <c r="B35" t="str">
        <f xml:space="preserve"> "" &amp; 840254046214</f>
        <v>840254046214</v>
      </c>
      <c r="C35" t="s">
        <v>285</v>
      </c>
      <c r="D35" t="s">
        <v>286</v>
      </c>
      <c r="E35" t="s">
        <v>265</v>
      </c>
      <c r="F35" t="s">
        <v>186</v>
      </c>
      <c r="G35">
        <v>1</v>
      </c>
      <c r="H35">
        <v>1</v>
      </c>
      <c r="I35" t="s">
        <v>99</v>
      </c>
      <c r="J35" s="4">
        <v>395</v>
      </c>
      <c r="K35" s="4">
        <v>1185</v>
      </c>
      <c r="O35" t="s">
        <v>100</v>
      </c>
      <c r="P35" s="4">
        <v>829.95</v>
      </c>
      <c r="S35">
        <v>7.5</v>
      </c>
      <c r="U35">
        <v>33.25</v>
      </c>
      <c r="V35">
        <v>5.75</v>
      </c>
      <c r="W35">
        <v>22.93</v>
      </c>
      <c r="X35">
        <v>1</v>
      </c>
      <c r="Y35">
        <v>14.5</v>
      </c>
      <c r="Z35">
        <v>35.880000000000003</v>
      </c>
      <c r="AA35">
        <v>11.88</v>
      </c>
      <c r="AB35">
        <v>3.577</v>
      </c>
      <c r="AC35">
        <v>27.34</v>
      </c>
      <c r="AE35">
        <v>6</v>
      </c>
      <c r="AF35" t="s">
        <v>167</v>
      </c>
      <c r="AG35">
        <v>60</v>
      </c>
      <c r="AK35" t="s">
        <v>102</v>
      </c>
      <c r="AM35" t="s">
        <v>102</v>
      </c>
      <c r="AN35" t="s">
        <v>100</v>
      </c>
      <c r="AO35" t="s">
        <v>102</v>
      </c>
      <c r="AP35" t="s">
        <v>117</v>
      </c>
      <c r="AQ35" t="s">
        <v>104</v>
      </c>
      <c r="AV35" t="s">
        <v>102</v>
      </c>
      <c r="AX35" t="s">
        <v>266</v>
      </c>
      <c r="AZ35" t="s">
        <v>189</v>
      </c>
      <c r="BB35" t="s">
        <v>267</v>
      </c>
      <c r="BC35" t="s">
        <v>275</v>
      </c>
      <c r="BD35" t="s">
        <v>269</v>
      </c>
      <c r="BF35" t="s">
        <v>287</v>
      </c>
      <c r="BG35" t="s">
        <v>102</v>
      </c>
      <c r="BH35" t="s">
        <v>102</v>
      </c>
      <c r="BI35" t="s">
        <v>102</v>
      </c>
      <c r="BK35" t="s">
        <v>191</v>
      </c>
      <c r="BL35" t="s">
        <v>180</v>
      </c>
      <c r="BR35">
        <v>7.5</v>
      </c>
      <c r="BT35">
        <v>31.25</v>
      </c>
      <c r="CA35" t="s">
        <v>288</v>
      </c>
      <c r="CB35" t="s">
        <v>266</v>
      </c>
      <c r="CL35" t="s">
        <v>100</v>
      </c>
      <c r="CM35" t="s">
        <v>102</v>
      </c>
      <c r="CN35" t="s">
        <v>272</v>
      </c>
      <c r="CO35" s="1">
        <v>42336</v>
      </c>
      <c r="CP35" s="1">
        <v>43634</v>
      </c>
    </row>
    <row r="36" spans="1:94" x14ac:dyDescent="0.25">
      <c r="A36" t="s">
        <v>289</v>
      </c>
      <c r="B36" t="str">
        <f xml:space="preserve"> "" &amp; 840254009646</f>
        <v>840254009646</v>
      </c>
      <c r="C36" t="s">
        <v>290</v>
      </c>
      <c r="D36" t="s">
        <v>290</v>
      </c>
      <c r="F36" t="s">
        <v>179</v>
      </c>
      <c r="G36">
        <v>1</v>
      </c>
      <c r="H36">
        <v>1</v>
      </c>
      <c r="I36" t="s">
        <v>99</v>
      </c>
      <c r="J36" s="4">
        <v>285</v>
      </c>
      <c r="K36" s="4">
        <v>855</v>
      </c>
      <c r="O36" t="s">
        <v>100</v>
      </c>
      <c r="P36" s="4">
        <v>599.95000000000005</v>
      </c>
      <c r="S36">
        <v>11.75</v>
      </c>
      <c r="U36">
        <v>7.5</v>
      </c>
      <c r="V36">
        <v>9</v>
      </c>
      <c r="W36">
        <v>5</v>
      </c>
      <c r="X36">
        <v>1</v>
      </c>
      <c r="Y36">
        <v>16.649999999999999</v>
      </c>
      <c r="Z36">
        <v>20.5</v>
      </c>
      <c r="AA36">
        <v>16.7</v>
      </c>
      <c r="AB36">
        <v>3.2989999999999999</v>
      </c>
      <c r="AC36">
        <v>17.600000000000001</v>
      </c>
      <c r="AE36">
        <v>1</v>
      </c>
      <c r="AF36" t="s">
        <v>291</v>
      </c>
      <c r="AG36">
        <v>60</v>
      </c>
      <c r="AK36" t="s">
        <v>102</v>
      </c>
      <c r="AL36">
        <v>1</v>
      </c>
      <c r="AM36" t="s">
        <v>102</v>
      </c>
      <c r="AN36" t="s">
        <v>102</v>
      </c>
      <c r="AO36" t="s">
        <v>102</v>
      </c>
      <c r="AP36" t="s">
        <v>117</v>
      </c>
      <c r="AQ36" t="s">
        <v>104</v>
      </c>
      <c r="AV36" t="s">
        <v>102</v>
      </c>
      <c r="AZ36" t="s">
        <v>163</v>
      </c>
      <c r="BB36" t="s">
        <v>54</v>
      </c>
      <c r="BC36" t="s">
        <v>292</v>
      </c>
      <c r="BF36" t="s">
        <v>293</v>
      </c>
      <c r="BG36" t="s">
        <v>102</v>
      </c>
      <c r="BH36" t="s">
        <v>102</v>
      </c>
      <c r="BI36" t="s">
        <v>102</v>
      </c>
      <c r="BK36" t="s">
        <v>107</v>
      </c>
      <c r="BM36">
        <v>4.75</v>
      </c>
      <c r="BN36">
        <v>7.25</v>
      </c>
      <c r="CA36" t="s">
        <v>289</v>
      </c>
      <c r="CL36" t="s">
        <v>102</v>
      </c>
      <c r="CM36" t="s">
        <v>102</v>
      </c>
      <c r="CN36" t="s">
        <v>294</v>
      </c>
      <c r="CO36" s="1">
        <v>41759</v>
      </c>
      <c r="CP36" s="1">
        <v>43595</v>
      </c>
    </row>
    <row r="37" spans="1:94" x14ac:dyDescent="0.25">
      <c r="A37" t="s">
        <v>295</v>
      </c>
      <c r="B37" t="str">
        <f xml:space="preserve"> "" &amp; 840254009974</f>
        <v>840254009974</v>
      </c>
      <c r="C37" t="s">
        <v>178</v>
      </c>
      <c r="D37" t="s">
        <v>296</v>
      </c>
      <c r="F37" t="s">
        <v>179</v>
      </c>
      <c r="G37">
        <v>1</v>
      </c>
      <c r="H37">
        <v>1</v>
      </c>
      <c r="I37" t="s">
        <v>99</v>
      </c>
      <c r="J37" s="4">
        <v>625</v>
      </c>
      <c r="K37" s="4">
        <v>1875</v>
      </c>
      <c r="O37" t="s">
        <v>100</v>
      </c>
      <c r="P37" s="4">
        <v>1311.95</v>
      </c>
      <c r="S37">
        <v>15.5</v>
      </c>
      <c r="U37">
        <v>11.5</v>
      </c>
      <c r="V37">
        <v>7.25</v>
      </c>
      <c r="W37">
        <v>8.8000000000000007</v>
      </c>
      <c r="X37">
        <v>1</v>
      </c>
      <c r="Y37">
        <v>16.5</v>
      </c>
      <c r="Z37">
        <v>24.4</v>
      </c>
      <c r="AA37">
        <v>16.5</v>
      </c>
      <c r="AB37">
        <v>3.8439999999999999</v>
      </c>
      <c r="AC37">
        <v>13.2</v>
      </c>
      <c r="AE37">
        <v>2</v>
      </c>
      <c r="AF37" t="s">
        <v>101</v>
      </c>
      <c r="AG37">
        <v>60</v>
      </c>
      <c r="AK37" t="s">
        <v>102</v>
      </c>
      <c r="AM37" t="s">
        <v>102</v>
      </c>
      <c r="AN37" t="s">
        <v>102</v>
      </c>
      <c r="AO37" t="s">
        <v>102</v>
      </c>
      <c r="AP37" t="s">
        <v>117</v>
      </c>
      <c r="AQ37" t="s">
        <v>104</v>
      </c>
      <c r="AV37" t="s">
        <v>102</v>
      </c>
      <c r="AX37" t="s">
        <v>297</v>
      </c>
      <c r="AZ37" t="s">
        <v>163</v>
      </c>
      <c r="BF37" t="s">
        <v>298</v>
      </c>
      <c r="BG37" t="s">
        <v>102</v>
      </c>
      <c r="BH37" t="s">
        <v>102</v>
      </c>
      <c r="BI37" t="s">
        <v>102</v>
      </c>
      <c r="BK37" t="s">
        <v>107</v>
      </c>
      <c r="BR37">
        <v>15.5</v>
      </c>
      <c r="BT37">
        <v>4.88</v>
      </c>
      <c r="CA37" t="s">
        <v>295</v>
      </c>
      <c r="CB37" t="s">
        <v>297</v>
      </c>
      <c r="CL37" t="s">
        <v>102</v>
      </c>
      <c r="CM37" t="s">
        <v>102</v>
      </c>
      <c r="CN37" t="s">
        <v>299</v>
      </c>
      <c r="CO37" s="1">
        <v>41759</v>
      </c>
      <c r="CP37" s="1">
        <v>43634</v>
      </c>
    </row>
    <row r="38" spans="1:94" x14ac:dyDescent="0.25">
      <c r="A38" t="s">
        <v>300</v>
      </c>
      <c r="B38" t="str">
        <f xml:space="preserve"> "" &amp; 840254010086</f>
        <v>840254010086</v>
      </c>
      <c r="C38" t="s">
        <v>290</v>
      </c>
      <c r="D38" t="s">
        <v>290</v>
      </c>
      <c r="F38" t="s">
        <v>179</v>
      </c>
      <c r="G38">
        <v>1</v>
      </c>
      <c r="H38">
        <v>1</v>
      </c>
      <c r="I38" t="s">
        <v>99</v>
      </c>
      <c r="J38" s="4">
        <v>300</v>
      </c>
      <c r="K38" s="4">
        <v>900</v>
      </c>
      <c r="O38" t="s">
        <v>100</v>
      </c>
      <c r="P38" s="4">
        <v>629.95000000000005</v>
      </c>
      <c r="S38">
        <v>10.75</v>
      </c>
      <c r="U38">
        <v>8</v>
      </c>
      <c r="V38">
        <v>11.13</v>
      </c>
      <c r="W38">
        <v>4.4000000000000004</v>
      </c>
      <c r="X38">
        <v>1</v>
      </c>
      <c r="Y38">
        <v>16.14</v>
      </c>
      <c r="Z38">
        <v>17.32</v>
      </c>
      <c r="AA38">
        <v>17.32</v>
      </c>
      <c r="AB38">
        <v>2.802</v>
      </c>
      <c r="AC38">
        <v>8.8000000000000007</v>
      </c>
      <c r="AE38">
        <v>1</v>
      </c>
      <c r="AF38" t="s">
        <v>301</v>
      </c>
      <c r="AG38">
        <v>60</v>
      </c>
      <c r="AK38" t="s">
        <v>102</v>
      </c>
      <c r="AM38" t="s">
        <v>102</v>
      </c>
      <c r="AN38" t="s">
        <v>102</v>
      </c>
      <c r="AO38" t="s">
        <v>102</v>
      </c>
      <c r="AP38" t="s">
        <v>117</v>
      </c>
      <c r="AQ38" t="s">
        <v>104</v>
      </c>
      <c r="AV38" t="s">
        <v>102</v>
      </c>
      <c r="AX38" t="s">
        <v>302</v>
      </c>
      <c r="AZ38" t="s">
        <v>163</v>
      </c>
      <c r="BB38" t="s">
        <v>54</v>
      </c>
      <c r="BC38" t="s">
        <v>303</v>
      </c>
      <c r="BF38" t="s">
        <v>304</v>
      </c>
      <c r="BG38" t="s">
        <v>102</v>
      </c>
      <c r="BH38" t="s">
        <v>102</v>
      </c>
      <c r="BI38" t="s">
        <v>102</v>
      </c>
      <c r="BK38" t="s">
        <v>107</v>
      </c>
      <c r="BQ38">
        <v>6.13</v>
      </c>
      <c r="BS38">
        <v>6.13</v>
      </c>
      <c r="BT38">
        <v>6.13</v>
      </c>
      <c r="CA38" t="s">
        <v>305</v>
      </c>
      <c r="CB38" t="s">
        <v>302</v>
      </c>
      <c r="CL38" t="s">
        <v>102</v>
      </c>
      <c r="CM38" t="s">
        <v>102</v>
      </c>
      <c r="CN38" t="s">
        <v>294</v>
      </c>
      <c r="CO38" s="1">
        <v>41759</v>
      </c>
      <c r="CP38" s="1">
        <v>43634</v>
      </c>
    </row>
    <row r="39" spans="1:94" x14ac:dyDescent="0.25">
      <c r="A39" t="s">
        <v>306</v>
      </c>
      <c r="B39" t="str">
        <f xml:space="preserve"> "" &amp; 840254010260</f>
        <v>840254010260</v>
      </c>
      <c r="C39" t="s">
        <v>290</v>
      </c>
      <c r="D39" t="s">
        <v>290</v>
      </c>
      <c r="F39" t="s">
        <v>179</v>
      </c>
      <c r="G39">
        <v>1</v>
      </c>
      <c r="H39">
        <v>1</v>
      </c>
      <c r="I39" t="s">
        <v>99</v>
      </c>
      <c r="J39" s="4">
        <v>50</v>
      </c>
      <c r="K39" s="4">
        <v>150</v>
      </c>
      <c r="O39" t="s">
        <v>100</v>
      </c>
      <c r="P39" s="4">
        <v>104.95</v>
      </c>
      <c r="S39">
        <v>5.5</v>
      </c>
      <c r="U39">
        <v>11</v>
      </c>
      <c r="V39">
        <v>5.75</v>
      </c>
      <c r="W39">
        <v>2.65</v>
      </c>
      <c r="X39">
        <v>1</v>
      </c>
      <c r="Y39">
        <v>7.5</v>
      </c>
      <c r="Z39">
        <v>13.5</v>
      </c>
      <c r="AA39">
        <v>7.5</v>
      </c>
      <c r="AB39">
        <v>0.439</v>
      </c>
      <c r="AC39">
        <v>3.97</v>
      </c>
      <c r="AE39">
        <v>1</v>
      </c>
      <c r="AF39" t="s">
        <v>307</v>
      </c>
      <c r="AG39">
        <v>60</v>
      </c>
      <c r="AK39" t="s">
        <v>102</v>
      </c>
      <c r="AM39" t="s">
        <v>102</v>
      </c>
      <c r="AN39" t="s">
        <v>102</v>
      </c>
      <c r="AO39" t="s">
        <v>100</v>
      </c>
      <c r="AP39" t="s">
        <v>117</v>
      </c>
      <c r="AQ39" t="s">
        <v>104</v>
      </c>
      <c r="AV39" t="s">
        <v>102</v>
      </c>
      <c r="AZ39" t="s">
        <v>163</v>
      </c>
      <c r="BF39" t="s">
        <v>308</v>
      </c>
      <c r="BG39" t="s">
        <v>102</v>
      </c>
      <c r="BH39" t="s">
        <v>102</v>
      </c>
      <c r="BI39" t="s">
        <v>102</v>
      </c>
      <c r="BK39" t="s">
        <v>107</v>
      </c>
      <c r="BL39" t="s">
        <v>180</v>
      </c>
      <c r="CA39" t="s">
        <v>306</v>
      </c>
      <c r="CL39" t="s">
        <v>102</v>
      </c>
      <c r="CM39" t="s">
        <v>102</v>
      </c>
      <c r="CN39" t="s">
        <v>309</v>
      </c>
      <c r="CO39" s="1">
        <v>36845</v>
      </c>
      <c r="CP39" s="1">
        <v>43595</v>
      </c>
    </row>
    <row r="40" spans="1:94" x14ac:dyDescent="0.25">
      <c r="A40" t="s">
        <v>310</v>
      </c>
      <c r="B40" t="str">
        <f xml:space="preserve"> "" &amp; 840254010291</f>
        <v>840254010291</v>
      </c>
      <c r="C40" t="s">
        <v>290</v>
      </c>
      <c r="D40" t="s">
        <v>290</v>
      </c>
      <c r="F40" t="s">
        <v>179</v>
      </c>
      <c r="G40">
        <v>1</v>
      </c>
      <c r="H40">
        <v>1</v>
      </c>
      <c r="I40" t="s">
        <v>99</v>
      </c>
      <c r="J40" s="4">
        <v>50</v>
      </c>
      <c r="K40" s="4">
        <v>150</v>
      </c>
      <c r="O40" t="s">
        <v>100</v>
      </c>
      <c r="P40" s="4">
        <v>104.95</v>
      </c>
      <c r="S40">
        <v>10</v>
      </c>
      <c r="U40">
        <v>8.5</v>
      </c>
      <c r="V40">
        <v>4</v>
      </c>
      <c r="W40">
        <v>3.09</v>
      </c>
      <c r="X40">
        <v>1</v>
      </c>
      <c r="Y40">
        <v>6.5</v>
      </c>
      <c r="Z40">
        <v>10.5</v>
      </c>
      <c r="AA40">
        <v>12.5</v>
      </c>
      <c r="AB40">
        <v>0.49399999999999999</v>
      </c>
      <c r="AC40">
        <v>5.07</v>
      </c>
      <c r="AE40">
        <v>1</v>
      </c>
      <c r="AF40" t="s">
        <v>307</v>
      </c>
      <c r="AG40">
        <v>60</v>
      </c>
      <c r="AK40" t="s">
        <v>102</v>
      </c>
      <c r="AM40" t="s">
        <v>102</v>
      </c>
      <c r="AN40" t="s">
        <v>102</v>
      </c>
      <c r="AO40" t="s">
        <v>100</v>
      </c>
      <c r="AP40" t="s">
        <v>117</v>
      </c>
      <c r="AQ40" t="s">
        <v>104</v>
      </c>
      <c r="AV40" t="s">
        <v>102</v>
      </c>
      <c r="AZ40" t="s">
        <v>163</v>
      </c>
      <c r="BF40" t="s">
        <v>311</v>
      </c>
      <c r="BG40" t="s">
        <v>102</v>
      </c>
      <c r="BH40" t="s">
        <v>100</v>
      </c>
      <c r="BI40" t="s">
        <v>102</v>
      </c>
      <c r="BK40" t="s">
        <v>107</v>
      </c>
      <c r="BL40" t="s">
        <v>180</v>
      </c>
      <c r="BT40">
        <v>4.25</v>
      </c>
      <c r="CA40" t="s">
        <v>310</v>
      </c>
      <c r="CL40" t="s">
        <v>102</v>
      </c>
      <c r="CM40" t="s">
        <v>102</v>
      </c>
      <c r="CN40" t="s">
        <v>309</v>
      </c>
      <c r="CO40" s="1">
        <v>36774</v>
      </c>
      <c r="CP40" s="1">
        <v>43595</v>
      </c>
    </row>
    <row r="41" spans="1:94" x14ac:dyDescent="0.25">
      <c r="A41" t="s">
        <v>312</v>
      </c>
      <c r="B41" t="str">
        <f xml:space="preserve"> "" &amp; 840254019232</f>
        <v>840254019232</v>
      </c>
      <c r="C41" t="s">
        <v>178</v>
      </c>
      <c r="D41" t="s">
        <v>313</v>
      </c>
      <c r="E41" t="s">
        <v>314</v>
      </c>
      <c r="F41" t="s">
        <v>179</v>
      </c>
      <c r="G41">
        <v>1</v>
      </c>
      <c r="H41">
        <v>1</v>
      </c>
      <c r="I41" t="s">
        <v>99</v>
      </c>
      <c r="J41" s="4">
        <v>145</v>
      </c>
      <c r="K41" s="4">
        <v>435</v>
      </c>
      <c r="O41" t="s">
        <v>100</v>
      </c>
      <c r="P41" s="4">
        <v>304.95</v>
      </c>
      <c r="S41">
        <v>20</v>
      </c>
      <c r="U41">
        <v>11.5</v>
      </c>
      <c r="V41">
        <v>6.75</v>
      </c>
      <c r="W41">
        <v>7.94</v>
      </c>
      <c r="X41">
        <v>1</v>
      </c>
      <c r="Y41">
        <v>9.5</v>
      </c>
      <c r="Z41">
        <v>23.5</v>
      </c>
      <c r="AA41">
        <v>14</v>
      </c>
      <c r="AB41">
        <v>1.8089999999999999</v>
      </c>
      <c r="AC41">
        <v>11.46</v>
      </c>
      <c r="AE41">
        <v>2</v>
      </c>
      <c r="AF41" t="s">
        <v>176</v>
      </c>
      <c r="AG41">
        <v>60</v>
      </c>
      <c r="AH41">
        <v>0</v>
      </c>
      <c r="AK41" t="s">
        <v>102</v>
      </c>
      <c r="AL41">
        <v>2</v>
      </c>
      <c r="AM41" t="s">
        <v>102</v>
      </c>
      <c r="AN41" t="s">
        <v>102</v>
      </c>
      <c r="AO41" t="s">
        <v>100</v>
      </c>
      <c r="AP41" t="s">
        <v>117</v>
      </c>
      <c r="AQ41" t="s">
        <v>104</v>
      </c>
      <c r="AV41" t="s">
        <v>102</v>
      </c>
      <c r="AX41" t="s">
        <v>315</v>
      </c>
      <c r="AZ41" t="s">
        <v>163</v>
      </c>
      <c r="BF41" t="s">
        <v>316</v>
      </c>
      <c r="BG41" t="s">
        <v>102</v>
      </c>
      <c r="BH41" t="s">
        <v>102</v>
      </c>
      <c r="BI41" t="s">
        <v>102</v>
      </c>
      <c r="BK41" t="s">
        <v>107</v>
      </c>
      <c r="BL41" t="s">
        <v>180</v>
      </c>
      <c r="CA41" t="s">
        <v>317</v>
      </c>
      <c r="CB41" t="s">
        <v>315</v>
      </c>
      <c r="CL41" t="s">
        <v>102</v>
      </c>
      <c r="CM41" t="s">
        <v>102</v>
      </c>
      <c r="CN41" t="s">
        <v>193</v>
      </c>
      <c r="CO41" s="1">
        <v>37210</v>
      </c>
      <c r="CP41" s="1">
        <v>43634</v>
      </c>
    </row>
    <row r="42" spans="1:94" x14ac:dyDescent="0.25">
      <c r="A42" t="s">
        <v>318</v>
      </c>
      <c r="B42" t="str">
        <f xml:space="preserve"> "" &amp; 840254036260</f>
        <v>840254036260</v>
      </c>
      <c r="C42" t="s">
        <v>319</v>
      </c>
      <c r="D42" t="s">
        <v>319</v>
      </c>
      <c r="F42" t="s">
        <v>179</v>
      </c>
      <c r="G42">
        <v>1</v>
      </c>
      <c r="H42">
        <v>1</v>
      </c>
      <c r="I42" t="s">
        <v>99</v>
      </c>
      <c r="J42" s="4">
        <v>1995</v>
      </c>
      <c r="K42" s="4">
        <v>5985</v>
      </c>
      <c r="O42" t="s">
        <v>100</v>
      </c>
      <c r="P42" s="4">
        <v>4189.95</v>
      </c>
      <c r="S42">
        <v>28.75</v>
      </c>
      <c r="U42">
        <v>16.5</v>
      </c>
      <c r="V42">
        <v>8</v>
      </c>
      <c r="W42">
        <v>15.06</v>
      </c>
      <c r="X42">
        <v>1</v>
      </c>
      <c r="Y42">
        <v>19.690000000000001</v>
      </c>
      <c r="Z42">
        <v>33.86</v>
      </c>
      <c r="AA42">
        <v>18.899999999999999</v>
      </c>
      <c r="AB42">
        <v>7.2919999999999998</v>
      </c>
      <c r="AC42">
        <v>22.93</v>
      </c>
      <c r="AE42">
        <v>5</v>
      </c>
      <c r="AF42" t="s">
        <v>320</v>
      </c>
      <c r="AG42">
        <v>60</v>
      </c>
      <c r="AK42" t="s">
        <v>102</v>
      </c>
      <c r="AL42">
        <v>5</v>
      </c>
      <c r="AM42" t="s">
        <v>102</v>
      </c>
      <c r="AN42" t="s">
        <v>102</v>
      </c>
      <c r="AO42" t="s">
        <v>102</v>
      </c>
      <c r="AP42" t="s">
        <v>117</v>
      </c>
      <c r="AQ42" t="s">
        <v>104</v>
      </c>
      <c r="AV42" t="s">
        <v>102</v>
      </c>
      <c r="AZ42" t="s">
        <v>163</v>
      </c>
      <c r="BF42" t="s">
        <v>321</v>
      </c>
      <c r="BG42" t="s">
        <v>102</v>
      </c>
      <c r="BH42" t="s">
        <v>102</v>
      </c>
      <c r="BI42" t="s">
        <v>102</v>
      </c>
      <c r="BL42" t="s">
        <v>180</v>
      </c>
      <c r="CA42" t="s">
        <v>318</v>
      </c>
      <c r="CL42" t="s">
        <v>102</v>
      </c>
      <c r="CM42" t="s">
        <v>102</v>
      </c>
      <c r="CO42" s="1">
        <v>40289</v>
      </c>
      <c r="CP42" s="1">
        <v>43634</v>
      </c>
    </row>
    <row r="43" spans="1:94" x14ac:dyDescent="0.25">
      <c r="A43" t="s">
        <v>322</v>
      </c>
      <c r="B43" t="str">
        <f xml:space="preserve"> "" &amp; 840254036277</f>
        <v>840254036277</v>
      </c>
      <c r="C43" t="s">
        <v>319</v>
      </c>
      <c r="D43" t="s">
        <v>319</v>
      </c>
      <c r="F43" t="s">
        <v>179</v>
      </c>
      <c r="G43">
        <v>1</v>
      </c>
      <c r="H43">
        <v>1</v>
      </c>
      <c r="I43" t="s">
        <v>99</v>
      </c>
      <c r="J43" s="4">
        <v>1995</v>
      </c>
      <c r="K43" s="4">
        <v>5985</v>
      </c>
      <c r="O43" t="s">
        <v>100</v>
      </c>
      <c r="P43" s="4">
        <v>4189.95</v>
      </c>
      <c r="S43">
        <v>28.75</v>
      </c>
      <c r="U43">
        <v>16.5</v>
      </c>
      <c r="V43">
        <v>8</v>
      </c>
      <c r="W43">
        <v>15.06</v>
      </c>
      <c r="X43">
        <v>1</v>
      </c>
      <c r="Y43">
        <v>19.690000000000001</v>
      </c>
      <c r="Z43">
        <v>33.86</v>
      </c>
      <c r="AA43">
        <v>18.899999999999999</v>
      </c>
      <c r="AB43">
        <v>7.2919999999999998</v>
      </c>
      <c r="AC43">
        <v>22.93</v>
      </c>
      <c r="AE43">
        <v>5</v>
      </c>
      <c r="AF43" t="s">
        <v>320</v>
      </c>
      <c r="AG43">
        <v>60</v>
      </c>
      <c r="AK43" t="s">
        <v>102</v>
      </c>
      <c r="AL43">
        <v>5</v>
      </c>
      <c r="AM43" t="s">
        <v>102</v>
      </c>
      <c r="AN43" t="s">
        <v>102</v>
      </c>
      <c r="AO43" t="s">
        <v>102</v>
      </c>
      <c r="AP43" t="s">
        <v>117</v>
      </c>
      <c r="AQ43" t="s">
        <v>104</v>
      </c>
      <c r="AV43" t="s">
        <v>102</v>
      </c>
      <c r="AZ43" t="s">
        <v>163</v>
      </c>
      <c r="BF43" t="s">
        <v>323</v>
      </c>
      <c r="BG43" t="s">
        <v>102</v>
      </c>
      <c r="BH43" t="s">
        <v>102</v>
      </c>
      <c r="BI43" t="s">
        <v>102</v>
      </c>
      <c r="BK43" t="s">
        <v>107</v>
      </c>
      <c r="BL43" t="s">
        <v>180</v>
      </c>
      <c r="CA43" t="s">
        <v>322</v>
      </c>
      <c r="CL43" t="s">
        <v>102</v>
      </c>
      <c r="CM43" t="s">
        <v>102</v>
      </c>
      <c r="CO43" s="1">
        <v>40353</v>
      </c>
      <c r="CP43" s="1">
        <v>43634</v>
      </c>
    </row>
    <row r="44" spans="1:94" x14ac:dyDescent="0.25">
      <c r="A44" t="s">
        <v>324</v>
      </c>
      <c r="B44" t="str">
        <f xml:space="preserve"> "" &amp; 840254027411</f>
        <v>840254027411</v>
      </c>
      <c r="C44" t="s">
        <v>230</v>
      </c>
      <c r="D44" t="s">
        <v>325</v>
      </c>
      <c r="E44" t="s">
        <v>326</v>
      </c>
      <c r="F44" t="s">
        <v>179</v>
      </c>
      <c r="G44">
        <v>1</v>
      </c>
      <c r="H44">
        <v>1</v>
      </c>
      <c r="I44" t="s">
        <v>99</v>
      </c>
      <c r="J44" s="4">
        <v>205</v>
      </c>
      <c r="K44" s="4">
        <v>615</v>
      </c>
      <c r="O44" t="s">
        <v>100</v>
      </c>
      <c r="P44" s="4">
        <v>429.95</v>
      </c>
      <c r="S44">
        <v>33</v>
      </c>
      <c r="U44">
        <v>18.25</v>
      </c>
      <c r="V44">
        <v>11.75</v>
      </c>
      <c r="W44">
        <v>8.82</v>
      </c>
      <c r="X44">
        <v>1</v>
      </c>
      <c r="Y44">
        <v>13</v>
      </c>
      <c r="Z44">
        <v>35.5</v>
      </c>
      <c r="AA44">
        <v>19</v>
      </c>
      <c r="AB44">
        <v>5.0739999999999998</v>
      </c>
      <c r="AC44">
        <v>13.23</v>
      </c>
      <c r="AE44">
        <v>3</v>
      </c>
      <c r="AF44" t="s">
        <v>176</v>
      </c>
      <c r="AG44">
        <v>60</v>
      </c>
      <c r="AH44">
        <v>0</v>
      </c>
      <c r="AJ44">
        <v>0</v>
      </c>
      <c r="AK44" t="s">
        <v>102</v>
      </c>
      <c r="AL44">
        <v>3</v>
      </c>
      <c r="AM44" t="s">
        <v>102</v>
      </c>
      <c r="AN44" t="s">
        <v>100</v>
      </c>
      <c r="AO44" t="s">
        <v>102</v>
      </c>
      <c r="AP44" t="s">
        <v>117</v>
      </c>
      <c r="AQ44" t="s">
        <v>104</v>
      </c>
      <c r="AV44" t="s">
        <v>102</v>
      </c>
      <c r="AX44" t="s">
        <v>327</v>
      </c>
      <c r="AZ44" t="s">
        <v>163</v>
      </c>
      <c r="BF44" t="s">
        <v>328</v>
      </c>
      <c r="BG44" t="s">
        <v>102</v>
      </c>
      <c r="BH44" t="s">
        <v>102</v>
      </c>
      <c r="BI44" t="s">
        <v>102</v>
      </c>
      <c r="BK44" t="s">
        <v>107</v>
      </c>
      <c r="BL44" t="s">
        <v>180</v>
      </c>
      <c r="CA44" t="s">
        <v>329</v>
      </c>
      <c r="CB44" t="s">
        <v>327</v>
      </c>
      <c r="CL44" t="s">
        <v>102</v>
      </c>
      <c r="CM44" t="s">
        <v>102</v>
      </c>
      <c r="CN44" t="s">
        <v>330</v>
      </c>
      <c r="CO44" s="1">
        <v>38624</v>
      </c>
      <c r="CP44" s="1">
        <v>43634</v>
      </c>
    </row>
    <row r="45" spans="1:94" x14ac:dyDescent="0.25">
      <c r="A45" t="s">
        <v>331</v>
      </c>
      <c r="B45" t="str">
        <f xml:space="preserve"> "" &amp; 840254027428</f>
        <v>840254027428</v>
      </c>
      <c r="C45" t="s">
        <v>206</v>
      </c>
      <c r="D45" t="s">
        <v>332</v>
      </c>
      <c r="E45" t="s">
        <v>326</v>
      </c>
      <c r="F45" t="s">
        <v>186</v>
      </c>
      <c r="G45">
        <v>1</v>
      </c>
      <c r="H45">
        <v>1</v>
      </c>
      <c r="I45" t="s">
        <v>99</v>
      </c>
      <c r="J45" s="4">
        <v>137</v>
      </c>
      <c r="K45" s="4">
        <v>411</v>
      </c>
      <c r="O45" t="s">
        <v>100</v>
      </c>
      <c r="P45" s="4">
        <v>289.95</v>
      </c>
      <c r="S45">
        <v>10.5</v>
      </c>
      <c r="U45">
        <v>23.25</v>
      </c>
      <c r="V45">
        <v>8.5</v>
      </c>
      <c r="W45">
        <v>11.29</v>
      </c>
      <c r="X45">
        <v>1</v>
      </c>
      <c r="Y45">
        <v>9.5</v>
      </c>
      <c r="Z45">
        <v>26</v>
      </c>
      <c r="AA45">
        <v>12.5</v>
      </c>
      <c r="AB45">
        <v>1.7869999999999999</v>
      </c>
      <c r="AC45">
        <v>14.11</v>
      </c>
      <c r="AE45">
        <v>2</v>
      </c>
      <c r="AF45" t="s">
        <v>333</v>
      </c>
      <c r="AG45">
        <v>100</v>
      </c>
      <c r="AH45">
        <v>0</v>
      </c>
      <c r="AJ45">
        <v>0</v>
      </c>
      <c r="AK45" t="s">
        <v>102</v>
      </c>
      <c r="AM45" t="s">
        <v>102</v>
      </c>
      <c r="AN45" t="s">
        <v>100</v>
      </c>
      <c r="AO45" t="s">
        <v>102</v>
      </c>
      <c r="AP45" t="s">
        <v>117</v>
      </c>
      <c r="AQ45" t="s">
        <v>104</v>
      </c>
      <c r="AV45" t="s">
        <v>102</v>
      </c>
      <c r="AX45" t="s">
        <v>327</v>
      </c>
      <c r="AZ45" t="s">
        <v>163</v>
      </c>
      <c r="BB45" t="s">
        <v>118</v>
      </c>
      <c r="BC45" t="s">
        <v>334</v>
      </c>
      <c r="BF45" t="s">
        <v>335</v>
      </c>
      <c r="BG45" t="s">
        <v>102</v>
      </c>
      <c r="BH45" t="s">
        <v>102</v>
      </c>
      <c r="BI45" t="s">
        <v>102</v>
      </c>
      <c r="BK45" t="s">
        <v>191</v>
      </c>
      <c r="BL45" t="s">
        <v>336</v>
      </c>
      <c r="CA45" t="s">
        <v>337</v>
      </c>
      <c r="CB45" t="s">
        <v>327</v>
      </c>
      <c r="CL45" t="s">
        <v>102</v>
      </c>
      <c r="CM45" t="s">
        <v>102</v>
      </c>
      <c r="CN45" t="s">
        <v>338</v>
      </c>
      <c r="CO45" s="1">
        <v>38624</v>
      </c>
      <c r="CP45" s="1">
        <v>43634</v>
      </c>
    </row>
    <row r="46" spans="1:94" x14ac:dyDescent="0.25">
      <c r="A46" t="s">
        <v>339</v>
      </c>
      <c r="B46" t="str">
        <f xml:space="preserve"> "" &amp; 840254027435</f>
        <v>840254027435</v>
      </c>
      <c r="C46" t="s">
        <v>211</v>
      </c>
      <c r="D46" t="s">
        <v>340</v>
      </c>
      <c r="E46" t="s">
        <v>326</v>
      </c>
      <c r="F46" t="s">
        <v>186</v>
      </c>
      <c r="G46">
        <v>1</v>
      </c>
      <c r="H46">
        <v>1</v>
      </c>
      <c r="I46" t="s">
        <v>99</v>
      </c>
      <c r="J46" s="4">
        <v>195</v>
      </c>
      <c r="K46" s="4">
        <v>585</v>
      </c>
      <c r="O46" t="s">
        <v>100</v>
      </c>
      <c r="P46" s="4">
        <v>409.95</v>
      </c>
      <c r="S46">
        <v>10.5</v>
      </c>
      <c r="U46">
        <v>32</v>
      </c>
      <c r="V46">
        <v>8.5</v>
      </c>
      <c r="W46">
        <v>14.99</v>
      </c>
      <c r="X46">
        <v>1</v>
      </c>
      <c r="Y46">
        <v>9.5</v>
      </c>
      <c r="Z46">
        <v>34.5</v>
      </c>
      <c r="AA46">
        <v>12.5</v>
      </c>
      <c r="AB46">
        <v>2.371</v>
      </c>
      <c r="AC46">
        <v>19</v>
      </c>
      <c r="AE46">
        <v>3</v>
      </c>
      <c r="AF46" t="s">
        <v>333</v>
      </c>
      <c r="AG46">
        <v>100</v>
      </c>
      <c r="AH46">
        <v>0</v>
      </c>
      <c r="AJ46">
        <v>0</v>
      </c>
      <c r="AK46" t="s">
        <v>102</v>
      </c>
      <c r="AM46" t="s">
        <v>102</v>
      </c>
      <c r="AN46" t="s">
        <v>100</v>
      </c>
      <c r="AO46" t="s">
        <v>102</v>
      </c>
      <c r="AP46" t="s">
        <v>117</v>
      </c>
      <c r="AQ46" t="s">
        <v>104</v>
      </c>
      <c r="AV46" t="s">
        <v>102</v>
      </c>
      <c r="AX46" t="s">
        <v>327</v>
      </c>
      <c r="AZ46" t="s">
        <v>163</v>
      </c>
      <c r="BB46" t="s">
        <v>118</v>
      </c>
      <c r="BC46" t="s">
        <v>334</v>
      </c>
      <c r="BF46" t="s">
        <v>341</v>
      </c>
      <c r="BG46" t="s">
        <v>102</v>
      </c>
      <c r="BH46" t="s">
        <v>102</v>
      </c>
      <c r="BI46" t="s">
        <v>102</v>
      </c>
      <c r="BK46" t="s">
        <v>191</v>
      </c>
      <c r="BL46" t="s">
        <v>336</v>
      </c>
      <c r="CA46" t="s">
        <v>342</v>
      </c>
      <c r="CB46" t="s">
        <v>327</v>
      </c>
      <c r="CL46" t="s">
        <v>102</v>
      </c>
      <c r="CM46" t="s">
        <v>102</v>
      </c>
      <c r="CN46" t="s">
        <v>343</v>
      </c>
      <c r="CO46" s="1">
        <v>38624</v>
      </c>
      <c r="CP46" s="1">
        <v>43634</v>
      </c>
    </row>
    <row r="47" spans="1:94" x14ac:dyDescent="0.25">
      <c r="A47" t="s">
        <v>344</v>
      </c>
      <c r="B47" t="str">
        <f xml:space="preserve"> "" &amp; 840254027442</f>
        <v>840254027442</v>
      </c>
      <c r="C47" t="s">
        <v>217</v>
      </c>
      <c r="D47" t="s">
        <v>345</v>
      </c>
      <c r="E47" t="s">
        <v>326</v>
      </c>
      <c r="F47" t="s">
        <v>186</v>
      </c>
      <c r="G47">
        <v>1</v>
      </c>
      <c r="H47">
        <v>1</v>
      </c>
      <c r="I47" t="s">
        <v>99</v>
      </c>
      <c r="J47" s="4">
        <v>225</v>
      </c>
      <c r="K47" s="4">
        <v>675</v>
      </c>
      <c r="O47" t="s">
        <v>100</v>
      </c>
      <c r="P47" s="4">
        <v>474.95</v>
      </c>
      <c r="S47">
        <v>10.5</v>
      </c>
      <c r="U47">
        <v>37</v>
      </c>
      <c r="V47">
        <v>8.5</v>
      </c>
      <c r="W47">
        <v>17.22</v>
      </c>
      <c r="X47">
        <v>1</v>
      </c>
      <c r="Y47">
        <v>9.5</v>
      </c>
      <c r="Z47">
        <v>40.5</v>
      </c>
      <c r="AA47">
        <v>12.5</v>
      </c>
      <c r="AB47">
        <v>2.7829999999999999</v>
      </c>
      <c r="AC47">
        <v>22.09</v>
      </c>
      <c r="AE47">
        <v>4</v>
      </c>
      <c r="AF47" t="s">
        <v>333</v>
      </c>
      <c r="AG47">
        <v>100</v>
      </c>
      <c r="AH47">
        <v>0</v>
      </c>
      <c r="AJ47">
        <v>0</v>
      </c>
      <c r="AK47" t="s">
        <v>102</v>
      </c>
      <c r="AM47" t="s">
        <v>102</v>
      </c>
      <c r="AN47" t="s">
        <v>100</v>
      </c>
      <c r="AO47" t="s">
        <v>102</v>
      </c>
      <c r="AP47" t="s">
        <v>117</v>
      </c>
      <c r="AQ47" t="s">
        <v>104</v>
      </c>
      <c r="AV47" t="s">
        <v>102</v>
      </c>
      <c r="AX47" t="s">
        <v>327</v>
      </c>
      <c r="AZ47" t="s">
        <v>163</v>
      </c>
      <c r="BB47" t="s">
        <v>118</v>
      </c>
      <c r="BC47" t="s">
        <v>334</v>
      </c>
      <c r="BF47" t="s">
        <v>346</v>
      </c>
      <c r="BG47" t="s">
        <v>102</v>
      </c>
      <c r="BH47" t="s">
        <v>102</v>
      </c>
      <c r="BI47" t="s">
        <v>102</v>
      </c>
      <c r="BK47" t="s">
        <v>191</v>
      </c>
      <c r="BL47" t="s">
        <v>336</v>
      </c>
      <c r="CA47" t="s">
        <v>347</v>
      </c>
      <c r="CB47" t="s">
        <v>327</v>
      </c>
      <c r="CL47" t="s">
        <v>102</v>
      </c>
      <c r="CM47" t="s">
        <v>102</v>
      </c>
      <c r="CN47" t="s">
        <v>338</v>
      </c>
      <c r="CO47" s="1">
        <v>38624</v>
      </c>
      <c r="CP47" s="1">
        <v>43634</v>
      </c>
    </row>
    <row r="48" spans="1:94" x14ac:dyDescent="0.25">
      <c r="A48" t="s">
        <v>348</v>
      </c>
      <c r="B48" t="str">
        <f xml:space="preserve"> "" &amp; 840254027459</f>
        <v>840254027459</v>
      </c>
      <c r="C48" t="s">
        <v>290</v>
      </c>
      <c r="D48" t="s">
        <v>349</v>
      </c>
      <c r="E48" t="s">
        <v>326</v>
      </c>
      <c r="F48" t="s">
        <v>179</v>
      </c>
      <c r="G48">
        <v>1</v>
      </c>
      <c r="H48">
        <v>1</v>
      </c>
      <c r="I48" t="s">
        <v>99</v>
      </c>
      <c r="J48" s="4">
        <v>155</v>
      </c>
      <c r="K48" s="4">
        <v>465</v>
      </c>
      <c r="O48" t="s">
        <v>100</v>
      </c>
      <c r="P48" s="4">
        <v>324.95</v>
      </c>
      <c r="S48">
        <v>35</v>
      </c>
      <c r="U48">
        <v>11.75</v>
      </c>
      <c r="V48">
        <v>13.25</v>
      </c>
      <c r="W48">
        <v>8.6</v>
      </c>
      <c r="X48">
        <v>1</v>
      </c>
      <c r="Y48">
        <v>9.5</v>
      </c>
      <c r="Z48">
        <v>31.5</v>
      </c>
      <c r="AA48">
        <v>14.5</v>
      </c>
      <c r="AB48">
        <v>2.5110000000000001</v>
      </c>
      <c r="AC48">
        <v>11.68</v>
      </c>
      <c r="AE48">
        <v>1</v>
      </c>
      <c r="AF48" t="s">
        <v>333</v>
      </c>
      <c r="AG48">
        <v>100</v>
      </c>
      <c r="AK48" t="s">
        <v>102</v>
      </c>
      <c r="AL48">
        <v>1</v>
      </c>
      <c r="AM48" t="s">
        <v>102</v>
      </c>
      <c r="AN48" t="s">
        <v>100</v>
      </c>
      <c r="AO48" t="s">
        <v>102</v>
      </c>
      <c r="AP48" t="s">
        <v>117</v>
      </c>
      <c r="AQ48" t="s">
        <v>104</v>
      </c>
      <c r="AV48" t="s">
        <v>102</v>
      </c>
      <c r="AX48" t="s">
        <v>327</v>
      </c>
      <c r="AZ48" t="s">
        <v>163</v>
      </c>
      <c r="BB48" t="s">
        <v>54</v>
      </c>
      <c r="BC48" t="s">
        <v>350</v>
      </c>
      <c r="BF48" t="s">
        <v>351</v>
      </c>
      <c r="BG48" t="s">
        <v>102</v>
      </c>
      <c r="BH48" t="s">
        <v>102</v>
      </c>
      <c r="BI48" t="s">
        <v>102</v>
      </c>
      <c r="BK48" t="s">
        <v>191</v>
      </c>
      <c r="BL48" t="s">
        <v>180</v>
      </c>
      <c r="CA48" t="s">
        <v>352</v>
      </c>
      <c r="CB48" t="s">
        <v>327</v>
      </c>
      <c r="CL48" t="s">
        <v>102</v>
      </c>
      <c r="CM48" t="s">
        <v>102</v>
      </c>
      <c r="CN48" t="s">
        <v>353</v>
      </c>
      <c r="CO48" s="1">
        <v>38611</v>
      </c>
      <c r="CP48" s="1">
        <v>43634</v>
      </c>
    </row>
    <row r="49" spans="1:94" x14ac:dyDescent="0.25">
      <c r="A49" t="s">
        <v>354</v>
      </c>
      <c r="B49" t="str">
        <f xml:space="preserve"> "" &amp; 840254027466</f>
        <v>840254027466</v>
      </c>
      <c r="C49" t="s">
        <v>355</v>
      </c>
      <c r="D49" t="s">
        <v>356</v>
      </c>
      <c r="E49" t="s">
        <v>326</v>
      </c>
      <c r="F49" t="s">
        <v>179</v>
      </c>
      <c r="G49">
        <v>1</v>
      </c>
      <c r="H49">
        <v>1</v>
      </c>
      <c r="I49" t="s">
        <v>99</v>
      </c>
      <c r="J49" s="4">
        <v>195</v>
      </c>
      <c r="K49" s="4">
        <v>585</v>
      </c>
      <c r="O49" t="s">
        <v>100</v>
      </c>
      <c r="P49" s="4">
        <v>409.95</v>
      </c>
      <c r="S49">
        <v>67.75</v>
      </c>
      <c r="U49">
        <v>11.75</v>
      </c>
      <c r="V49">
        <v>12.25</v>
      </c>
      <c r="W49">
        <v>12.13</v>
      </c>
      <c r="X49">
        <v>1</v>
      </c>
      <c r="Y49">
        <v>10.5</v>
      </c>
      <c r="Z49">
        <v>65</v>
      </c>
      <c r="AA49">
        <v>14.5</v>
      </c>
      <c r="AB49">
        <v>5.7270000000000003</v>
      </c>
      <c r="AC49">
        <v>18.52</v>
      </c>
      <c r="AE49">
        <v>1</v>
      </c>
      <c r="AF49" t="s">
        <v>333</v>
      </c>
      <c r="AG49">
        <v>100</v>
      </c>
      <c r="AH49">
        <v>0</v>
      </c>
      <c r="AJ49">
        <v>0</v>
      </c>
      <c r="AK49" t="s">
        <v>102</v>
      </c>
      <c r="AL49">
        <v>1</v>
      </c>
      <c r="AM49" t="s">
        <v>102</v>
      </c>
      <c r="AN49" t="s">
        <v>102</v>
      </c>
      <c r="AO49" t="s">
        <v>100</v>
      </c>
      <c r="AP49" t="s">
        <v>117</v>
      </c>
      <c r="AQ49" t="s">
        <v>104</v>
      </c>
      <c r="AV49" t="s">
        <v>102</v>
      </c>
      <c r="AX49" t="s">
        <v>327</v>
      </c>
      <c r="AZ49" t="s">
        <v>163</v>
      </c>
      <c r="BB49" t="s">
        <v>54</v>
      </c>
      <c r="BC49" t="s">
        <v>334</v>
      </c>
      <c r="BF49" t="s">
        <v>357</v>
      </c>
      <c r="BG49" t="s">
        <v>102</v>
      </c>
      <c r="BH49" t="s">
        <v>102</v>
      </c>
      <c r="BI49" t="s">
        <v>102</v>
      </c>
      <c r="BK49" t="s">
        <v>107</v>
      </c>
      <c r="BL49" t="s">
        <v>180</v>
      </c>
      <c r="CA49" t="s">
        <v>358</v>
      </c>
      <c r="CB49" t="s">
        <v>327</v>
      </c>
      <c r="CL49" t="s">
        <v>102</v>
      </c>
      <c r="CM49" t="s">
        <v>102</v>
      </c>
      <c r="CN49" t="s">
        <v>338</v>
      </c>
      <c r="CO49" s="1">
        <v>38624</v>
      </c>
      <c r="CP49" s="1">
        <v>43634</v>
      </c>
    </row>
    <row r="50" spans="1:94" x14ac:dyDescent="0.25">
      <c r="A50" t="s">
        <v>359</v>
      </c>
      <c r="B50" t="str">
        <f xml:space="preserve"> "" &amp; 840254010833</f>
        <v>840254010833</v>
      </c>
      <c r="C50" t="s">
        <v>95</v>
      </c>
      <c r="D50" t="s">
        <v>95</v>
      </c>
      <c r="F50" t="s">
        <v>98</v>
      </c>
      <c r="G50">
        <v>1</v>
      </c>
      <c r="H50">
        <v>1</v>
      </c>
      <c r="I50" t="s">
        <v>99</v>
      </c>
      <c r="J50" s="4">
        <v>1995</v>
      </c>
      <c r="K50" s="4">
        <v>5985</v>
      </c>
      <c r="O50" t="s">
        <v>100</v>
      </c>
      <c r="P50" s="4">
        <v>4189.95</v>
      </c>
      <c r="S50">
        <v>31</v>
      </c>
      <c r="T50">
        <v>25.75</v>
      </c>
      <c r="U50">
        <v>25.75</v>
      </c>
      <c r="W50">
        <v>36.99</v>
      </c>
      <c r="X50">
        <v>1</v>
      </c>
      <c r="Y50">
        <v>24.4</v>
      </c>
      <c r="Z50">
        <v>28.35</v>
      </c>
      <c r="AA50">
        <v>28.35</v>
      </c>
      <c r="AB50">
        <v>11.349</v>
      </c>
      <c r="AC50">
        <v>43.78</v>
      </c>
      <c r="AE50">
        <v>12</v>
      </c>
      <c r="AF50" t="s">
        <v>101</v>
      </c>
      <c r="AG50">
        <v>60</v>
      </c>
      <c r="AK50" t="s">
        <v>102</v>
      </c>
      <c r="AM50" t="s">
        <v>102</v>
      </c>
      <c r="AN50" t="s">
        <v>102</v>
      </c>
      <c r="AO50" t="s">
        <v>102</v>
      </c>
      <c r="AP50" t="s">
        <v>103</v>
      </c>
      <c r="AQ50" t="s">
        <v>104</v>
      </c>
      <c r="AV50" t="s">
        <v>102</v>
      </c>
      <c r="AZ50" t="s">
        <v>163</v>
      </c>
      <c r="BF50" t="s">
        <v>360</v>
      </c>
      <c r="BG50" t="s">
        <v>102</v>
      </c>
      <c r="BH50" t="s">
        <v>102</v>
      </c>
      <c r="BI50" t="s">
        <v>102</v>
      </c>
      <c r="BK50" t="s">
        <v>107</v>
      </c>
      <c r="BR50">
        <v>0.75</v>
      </c>
      <c r="BT50">
        <v>5</v>
      </c>
      <c r="CA50" t="s">
        <v>359</v>
      </c>
      <c r="CL50" t="s">
        <v>102</v>
      </c>
      <c r="CM50" t="s">
        <v>102</v>
      </c>
      <c r="CN50" t="s">
        <v>361</v>
      </c>
      <c r="CO50" s="1">
        <v>41759</v>
      </c>
      <c r="CP50" s="1">
        <v>43634</v>
      </c>
    </row>
    <row r="51" spans="1:94" x14ac:dyDescent="0.25">
      <c r="A51" t="s">
        <v>362</v>
      </c>
      <c r="B51" t="str">
        <f xml:space="preserve"> "" &amp; 840254041936</f>
        <v>840254041936</v>
      </c>
      <c r="C51" t="s">
        <v>230</v>
      </c>
      <c r="D51" t="s">
        <v>363</v>
      </c>
      <c r="E51" t="s">
        <v>364</v>
      </c>
      <c r="F51" t="s">
        <v>179</v>
      </c>
      <c r="G51">
        <v>1</v>
      </c>
      <c r="H51">
        <v>1</v>
      </c>
      <c r="I51" t="s">
        <v>99</v>
      </c>
      <c r="J51" s="4">
        <v>115</v>
      </c>
      <c r="K51" s="4">
        <v>345</v>
      </c>
      <c r="O51" t="s">
        <v>100</v>
      </c>
      <c r="P51" s="4">
        <v>239.95</v>
      </c>
      <c r="S51">
        <v>15.25</v>
      </c>
      <c r="U51">
        <v>7.25</v>
      </c>
      <c r="V51">
        <v>4.25</v>
      </c>
      <c r="W51">
        <v>3.59</v>
      </c>
      <c r="X51">
        <v>1</v>
      </c>
      <c r="Y51">
        <v>7.25</v>
      </c>
      <c r="Z51">
        <v>15</v>
      </c>
      <c r="AA51">
        <v>10.25</v>
      </c>
      <c r="AB51">
        <v>0.64500000000000002</v>
      </c>
      <c r="AC51">
        <v>4.6500000000000004</v>
      </c>
      <c r="AE51">
        <v>3</v>
      </c>
      <c r="AF51" t="s">
        <v>365</v>
      </c>
      <c r="AG51">
        <v>60</v>
      </c>
      <c r="AK51" t="s">
        <v>102</v>
      </c>
      <c r="AM51" t="s">
        <v>102</v>
      </c>
      <c r="AN51" t="s">
        <v>100</v>
      </c>
      <c r="AO51" t="s">
        <v>102</v>
      </c>
      <c r="AP51" t="s">
        <v>117</v>
      </c>
      <c r="AQ51" t="s">
        <v>104</v>
      </c>
      <c r="AV51" t="s">
        <v>102</v>
      </c>
      <c r="AX51" t="s">
        <v>366</v>
      </c>
      <c r="AZ51" t="s">
        <v>163</v>
      </c>
      <c r="BF51" t="s">
        <v>367</v>
      </c>
      <c r="BG51" t="s">
        <v>102</v>
      </c>
      <c r="BH51" t="s">
        <v>102</v>
      </c>
      <c r="BI51" t="s">
        <v>102</v>
      </c>
      <c r="BK51" t="s">
        <v>107</v>
      </c>
      <c r="BR51">
        <v>11.75</v>
      </c>
      <c r="BT51">
        <v>7.25</v>
      </c>
      <c r="CA51" t="s">
        <v>368</v>
      </c>
      <c r="CB51" t="s">
        <v>366</v>
      </c>
      <c r="CL51" t="s">
        <v>102</v>
      </c>
      <c r="CM51" t="s">
        <v>102</v>
      </c>
      <c r="CN51" t="s">
        <v>361</v>
      </c>
      <c r="CO51" s="1">
        <v>41292</v>
      </c>
      <c r="CP51" s="1">
        <v>43634</v>
      </c>
    </row>
    <row r="52" spans="1:94" x14ac:dyDescent="0.25">
      <c r="A52" t="s">
        <v>369</v>
      </c>
      <c r="B52" t="str">
        <f xml:space="preserve"> "" &amp; 840254011212</f>
        <v>840254011212</v>
      </c>
      <c r="C52" t="s">
        <v>370</v>
      </c>
      <c r="D52" t="s">
        <v>370</v>
      </c>
      <c r="F52" t="s">
        <v>371</v>
      </c>
      <c r="G52">
        <v>1</v>
      </c>
      <c r="H52">
        <v>1</v>
      </c>
      <c r="I52" t="s">
        <v>99</v>
      </c>
      <c r="J52" s="4">
        <v>2895</v>
      </c>
      <c r="K52" s="4">
        <v>8685</v>
      </c>
      <c r="O52" t="s">
        <v>100</v>
      </c>
      <c r="P52" s="4">
        <v>6079.95</v>
      </c>
      <c r="S52">
        <v>39</v>
      </c>
      <c r="U52">
        <v>23</v>
      </c>
      <c r="W52">
        <v>60.01</v>
      </c>
      <c r="X52">
        <v>1</v>
      </c>
      <c r="Y52">
        <v>43.31</v>
      </c>
      <c r="Z52">
        <v>27.56</v>
      </c>
      <c r="AA52">
        <v>27.56</v>
      </c>
      <c r="AB52">
        <v>19.036999999999999</v>
      </c>
      <c r="AC52">
        <v>70.400000000000006</v>
      </c>
      <c r="AE52">
        <v>9</v>
      </c>
      <c r="AF52" t="s">
        <v>101</v>
      </c>
      <c r="AG52">
        <v>60</v>
      </c>
      <c r="AK52" t="s">
        <v>102</v>
      </c>
      <c r="AM52" t="s">
        <v>102</v>
      </c>
      <c r="AN52" t="s">
        <v>102</v>
      </c>
      <c r="AO52" t="s">
        <v>102</v>
      </c>
      <c r="AP52" t="s">
        <v>103</v>
      </c>
      <c r="AQ52" t="s">
        <v>104</v>
      </c>
      <c r="AV52" t="s">
        <v>102</v>
      </c>
      <c r="AX52" t="s">
        <v>372</v>
      </c>
      <c r="AZ52" t="s">
        <v>163</v>
      </c>
      <c r="BB52" t="s">
        <v>54</v>
      </c>
      <c r="BC52" t="s">
        <v>373</v>
      </c>
      <c r="BF52" t="s">
        <v>374</v>
      </c>
      <c r="BG52" t="s">
        <v>102</v>
      </c>
      <c r="BH52" t="s">
        <v>102</v>
      </c>
      <c r="BI52" t="s">
        <v>102</v>
      </c>
      <c r="BK52" t="s">
        <v>107</v>
      </c>
      <c r="BQ52">
        <v>5</v>
      </c>
      <c r="BR52">
        <v>1.1299999999999999</v>
      </c>
      <c r="BT52">
        <v>5</v>
      </c>
      <c r="CA52" t="s">
        <v>369</v>
      </c>
      <c r="CB52" t="s">
        <v>372</v>
      </c>
      <c r="CL52" t="s">
        <v>102</v>
      </c>
      <c r="CM52" t="s">
        <v>102</v>
      </c>
      <c r="CN52" t="s">
        <v>375</v>
      </c>
      <c r="CO52" s="1">
        <v>41759</v>
      </c>
      <c r="CP52" s="1">
        <v>43634</v>
      </c>
    </row>
    <row r="53" spans="1:94" x14ac:dyDescent="0.25">
      <c r="A53" t="s">
        <v>376</v>
      </c>
      <c r="B53" t="str">
        <f xml:space="preserve"> "" &amp; 840254019416</f>
        <v>840254019416</v>
      </c>
      <c r="C53" t="s">
        <v>377</v>
      </c>
      <c r="D53" t="s">
        <v>370</v>
      </c>
      <c r="F53" t="s">
        <v>371</v>
      </c>
      <c r="G53">
        <v>1</v>
      </c>
      <c r="H53">
        <v>1</v>
      </c>
      <c r="I53" t="s">
        <v>99</v>
      </c>
      <c r="J53" s="4">
        <v>4295</v>
      </c>
      <c r="K53" s="4">
        <v>12885</v>
      </c>
      <c r="O53" t="s">
        <v>100</v>
      </c>
      <c r="P53" s="4">
        <v>9019.9500000000007</v>
      </c>
      <c r="S53">
        <v>44</v>
      </c>
      <c r="U53">
        <v>26</v>
      </c>
      <c r="W53">
        <v>13.23</v>
      </c>
      <c r="X53">
        <v>2</v>
      </c>
      <c r="Y53">
        <v>56</v>
      </c>
      <c r="Z53">
        <v>36</v>
      </c>
      <c r="AA53">
        <v>36</v>
      </c>
      <c r="AB53">
        <v>42</v>
      </c>
      <c r="AC53">
        <v>180.78</v>
      </c>
      <c r="AK53" t="s">
        <v>102</v>
      </c>
      <c r="AM53" t="s">
        <v>102</v>
      </c>
      <c r="AN53" t="s">
        <v>102</v>
      </c>
      <c r="AO53" t="s">
        <v>102</v>
      </c>
      <c r="AP53" t="s">
        <v>103</v>
      </c>
      <c r="AQ53" t="s">
        <v>104</v>
      </c>
      <c r="AV53" t="s">
        <v>102</v>
      </c>
      <c r="AX53" t="s">
        <v>297</v>
      </c>
      <c r="AZ53" t="s">
        <v>163</v>
      </c>
      <c r="BF53" t="s">
        <v>378</v>
      </c>
      <c r="BG53" t="s">
        <v>102</v>
      </c>
      <c r="BH53" t="s">
        <v>102</v>
      </c>
      <c r="BI53" t="s">
        <v>102</v>
      </c>
      <c r="BK53" t="s">
        <v>107</v>
      </c>
      <c r="CA53" t="s">
        <v>379</v>
      </c>
      <c r="CB53" t="s">
        <v>297</v>
      </c>
      <c r="CL53" t="s">
        <v>102</v>
      </c>
      <c r="CM53" t="s">
        <v>102</v>
      </c>
      <c r="CO53" s="1">
        <v>36923</v>
      </c>
      <c r="CP53" s="1">
        <v>43634</v>
      </c>
    </row>
    <row r="54" spans="1:94" x14ac:dyDescent="0.25">
      <c r="A54" t="s">
        <v>380</v>
      </c>
      <c r="B54" t="str">
        <f xml:space="preserve"> "" &amp; 840254011243</f>
        <v>840254011243</v>
      </c>
      <c r="C54" t="s">
        <v>381</v>
      </c>
      <c r="D54" t="s">
        <v>382</v>
      </c>
      <c r="F54" t="s">
        <v>371</v>
      </c>
      <c r="G54">
        <v>1</v>
      </c>
      <c r="H54">
        <v>1</v>
      </c>
      <c r="I54" t="s">
        <v>99</v>
      </c>
      <c r="J54" s="4">
        <v>695</v>
      </c>
      <c r="K54" s="4">
        <v>2085</v>
      </c>
      <c r="O54" t="s">
        <v>100</v>
      </c>
      <c r="P54" s="4">
        <v>1459.95</v>
      </c>
      <c r="S54">
        <v>33</v>
      </c>
      <c r="U54">
        <v>14</v>
      </c>
      <c r="W54">
        <v>14</v>
      </c>
      <c r="X54">
        <v>1</v>
      </c>
      <c r="Y54">
        <v>24.41</v>
      </c>
      <c r="Z54">
        <v>32.28</v>
      </c>
      <c r="AA54">
        <v>20.47</v>
      </c>
      <c r="AB54">
        <v>9.3339999999999996</v>
      </c>
      <c r="AC54">
        <v>2</v>
      </c>
      <c r="AE54">
        <v>3</v>
      </c>
      <c r="AF54" t="s">
        <v>383</v>
      </c>
      <c r="AK54" t="s">
        <v>102</v>
      </c>
      <c r="AM54" t="s">
        <v>102</v>
      </c>
      <c r="AN54" t="s">
        <v>102</v>
      </c>
      <c r="AO54" t="s">
        <v>102</v>
      </c>
      <c r="AP54" t="s">
        <v>117</v>
      </c>
      <c r="AQ54" t="s">
        <v>104</v>
      </c>
      <c r="AV54" t="s">
        <v>102</v>
      </c>
      <c r="AX54" t="s">
        <v>297</v>
      </c>
      <c r="AZ54" t="s">
        <v>163</v>
      </c>
      <c r="BF54" t="s">
        <v>384</v>
      </c>
      <c r="BG54" t="s">
        <v>102</v>
      </c>
      <c r="BH54" t="s">
        <v>102</v>
      </c>
      <c r="BI54" t="s">
        <v>102</v>
      </c>
      <c r="BK54" t="s">
        <v>107</v>
      </c>
      <c r="CA54" t="s">
        <v>385</v>
      </c>
      <c r="CB54" t="s">
        <v>297</v>
      </c>
      <c r="CL54" t="s">
        <v>102</v>
      </c>
      <c r="CM54" t="s">
        <v>102</v>
      </c>
      <c r="CO54" s="1">
        <v>37257</v>
      </c>
      <c r="CP54" s="1">
        <v>43634</v>
      </c>
    </row>
    <row r="55" spans="1:94" x14ac:dyDescent="0.25">
      <c r="A55" t="s">
        <v>386</v>
      </c>
      <c r="B55" t="str">
        <f xml:space="preserve"> "" &amp; 840254011250</f>
        <v>840254011250</v>
      </c>
      <c r="C55" t="s">
        <v>381</v>
      </c>
      <c r="D55" t="s">
        <v>382</v>
      </c>
      <c r="F55" t="s">
        <v>371</v>
      </c>
      <c r="G55">
        <v>1</v>
      </c>
      <c r="H55">
        <v>1</v>
      </c>
      <c r="I55" t="s">
        <v>99</v>
      </c>
      <c r="J55" s="4">
        <v>1395</v>
      </c>
      <c r="K55" s="4">
        <v>4185</v>
      </c>
      <c r="O55" t="s">
        <v>100</v>
      </c>
      <c r="P55" s="4">
        <v>2929.95</v>
      </c>
      <c r="S55">
        <v>28</v>
      </c>
      <c r="U55">
        <v>12</v>
      </c>
      <c r="W55">
        <v>27</v>
      </c>
      <c r="X55">
        <v>1</v>
      </c>
      <c r="Y55">
        <v>40.159999999999997</v>
      </c>
      <c r="Z55">
        <v>16.54</v>
      </c>
      <c r="AA55">
        <v>16.54</v>
      </c>
      <c r="AB55">
        <v>6.3579999999999997</v>
      </c>
      <c r="AC55">
        <v>30.8</v>
      </c>
      <c r="AK55" t="s">
        <v>102</v>
      </c>
      <c r="AM55" t="s">
        <v>102</v>
      </c>
      <c r="AN55" t="s">
        <v>102</v>
      </c>
      <c r="AO55" t="s">
        <v>102</v>
      </c>
      <c r="AP55" t="s">
        <v>117</v>
      </c>
      <c r="AQ55" t="s">
        <v>104</v>
      </c>
      <c r="AV55" t="s">
        <v>102</v>
      </c>
      <c r="AX55" t="s">
        <v>297</v>
      </c>
      <c r="AZ55" t="s">
        <v>163</v>
      </c>
      <c r="BF55" t="s">
        <v>387</v>
      </c>
      <c r="BG55" t="s">
        <v>102</v>
      </c>
      <c r="BH55" t="s">
        <v>102</v>
      </c>
      <c r="BI55" t="s">
        <v>102</v>
      </c>
      <c r="BK55" t="s">
        <v>107</v>
      </c>
      <c r="CA55" t="s">
        <v>388</v>
      </c>
      <c r="CB55" t="s">
        <v>297</v>
      </c>
      <c r="CL55" t="s">
        <v>102</v>
      </c>
      <c r="CM55" t="s">
        <v>102</v>
      </c>
      <c r="CO55" s="1">
        <v>36923</v>
      </c>
      <c r="CP55" s="1">
        <v>43634</v>
      </c>
    </row>
    <row r="56" spans="1:94" x14ac:dyDescent="0.25">
      <c r="A56" t="s">
        <v>389</v>
      </c>
      <c r="B56" t="str">
        <f xml:space="preserve"> "" &amp; 840254029361</f>
        <v>840254029361</v>
      </c>
      <c r="C56" t="s">
        <v>390</v>
      </c>
      <c r="D56" t="s">
        <v>391</v>
      </c>
      <c r="F56" t="s">
        <v>371</v>
      </c>
      <c r="G56">
        <v>1</v>
      </c>
      <c r="H56">
        <v>1</v>
      </c>
      <c r="I56" t="s">
        <v>99</v>
      </c>
      <c r="J56" s="4">
        <v>1795</v>
      </c>
      <c r="K56" s="4">
        <v>5385</v>
      </c>
      <c r="O56" t="s">
        <v>100</v>
      </c>
      <c r="P56" s="4">
        <v>3769.95</v>
      </c>
      <c r="S56">
        <v>33</v>
      </c>
      <c r="U56">
        <v>17.5</v>
      </c>
      <c r="W56">
        <v>33</v>
      </c>
      <c r="X56">
        <v>1</v>
      </c>
      <c r="Y56">
        <v>36.21</v>
      </c>
      <c r="Z56">
        <v>24.4</v>
      </c>
      <c r="AA56">
        <v>24.4</v>
      </c>
      <c r="AB56">
        <v>12.476000000000001</v>
      </c>
      <c r="AC56">
        <v>48.5</v>
      </c>
      <c r="AK56" t="s">
        <v>102</v>
      </c>
      <c r="AM56" t="s">
        <v>102</v>
      </c>
      <c r="AN56" t="s">
        <v>102</v>
      </c>
      <c r="AO56" t="s">
        <v>102</v>
      </c>
      <c r="AP56" t="s">
        <v>103</v>
      </c>
      <c r="AQ56" t="s">
        <v>104</v>
      </c>
      <c r="AV56" t="s">
        <v>102</v>
      </c>
      <c r="AX56" t="s">
        <v>297</v>
      </c>
      <c r="AZ56" t="s">
        <v>163</v>
      </c>
      <c r="BF56" t="s">
        <v>392</v>
      </c>
      <c r="BG56" t="s">
        <v>102</v>
      </c>
      <c r="BH56" t="s">
        <v>102</v>
      </c>
      <c r="BI56" t="s">
        <v>102</v>
      </c>
      <c r="BK56" t="s">
        <v>107</v>
      </c>
      <c r="CA56" t="s">
        <v>393</v>
      </c>
      <c r="CB56" t="s">
        <v>297</v>
      </c>
      <c r="CL56" t="s">
        <v>102</v>
      </c>
      <c r="CM56" t="s">
        <v>102</v>
      </c>
      <c r="CO56" s="1">
        <v>38747</v>
      </c>
      <c r="CP56" s="1">
        <v>43634</v>
      </c>
    </row>
    <row r="57" spans="1:94" x14ac:dyDescent="0.25">
      <c r="A57" t="s">
        <v>394</v>
      </c>
      <c r="B57" t="str">
        <f xml:space="preserve"> "" &amp; 840254029378</f>
        <v>840254029378</v>
      </c>
      <c r="C57" t="s">
        <v>230</v>
      </c>
      <c r="D57" t="s">
        <v>230</v>
      </c>
      <c r="F57" t="s">
        <v>179</v>
      </c>
      <c r="G57">
        <v>1</v>
      </c>
      <c r="H57">
        <v>1</v>
      </c>
      <c r="I57" t="s">
        <v>99</v>
      </c>
      <c r="J57" s="4">
        <v>795</v>
      </c>
      <c r="K57" s="4">
        <v>2385</v>
      </c>
      <c r="O57" t="s">
        <v>100</v>
      </c>
      <c r="P57" s="4">
        <v>1669.95</v>
      </c>
      <c r="S57">
        <v>18</v>
      </c>
      <c r="U57">
        <v>10.5</v>
      </c>
      <c r="V57">
        <v>6</v>
      </c>
      <c r="W57">
        <v>8.5</v>
      </c>
      <c r="X57">
        <v>1</v>
      </c>
      <c r="Y57">
        <v>12</v>
      </c>
      <c r="Z57">
        <v>18</v>
      </c>
      <c r="AA57">
        <v>18</v>
      </c>
      <c r="AB57">
        <v>2.25</v>
      </c>
      <c r="AC57">
        <v>11.25</v>
      </c>
      <c r="AK57" t="s">
        <v>102</v>
      </c>
      <c r="AM57" t="s">
        <v>102</v>
      </c>
      <c r="AN57" t="s">
        <v>102</v>
      </c>
      <c r="AO57" t="s">
        <v>102</v>
      </c>
      <c r="AP57" t="s">
        <v>117</v>
      </c>
      <c r="AQ57" t="s">
        <v>104</v>
      </c>
      <c r="AV57" t="s">
        <v>102</v>
      </c>
      <c r="AX57" t="s">
        <v>297</v>
      </c>
      <c r="AZ57" t="s">
        <v>163</v>
      </c>
      <c r="BF57" t="s">
        <v>395</v>
      </c>
      <c r="BG57" t="s">
        <v>102</v>
      </c>
      <c r="BH57" t="s">
        <v>102</v>
      </c>
      <c r="BI57" t="s">
        <v>102</v>
      </c>
      <c r="BL57" t="s">
        <v>180</v>
      </c>
      <c r="CA57" t="s">
        <v>396</v>
      </c>
      <c r="CB57" t="s">
        <v>297</v>
      </c>
      <c r="CL57" t="s">
        <v>102</v>
      </c>
      <c r="CM57" t="s">
        <v>102</v>
      </c>
      <c r="CO57" s="1">
        <v>38747</v>
      </c>
      <c r="CP57" s="1">
        <v>43634</v>
      </c>
    </row>
    <row r="58" spans="1:94" x14ac:dyDescent="0.25">
      <c r="A58" t="s">
        <v>397</v>
      </c>
      <c r="B58" t="str">
        <f xml:space="preserve"> "" &amp; 840254019423</f>
        <v>840254019423</v>
      </c>
      <c r="C58" t="s">
        <v>377</v>
      </c>
      <c r="D58" t="s">
        <v>370</v>
      </c>
      <c r="F58" t="s">
        <v>371</v>
      </c>
      <c r="G58">
        <v>1</v>
      </c>
      <c r="H58">
        <v>1</v>
      </c>
      <c r="I58" t="s">
        <v>99</v>
      </c>
      <c r="J58" s="4">
        <v>3195</v>
      </c>
      <c r="K58" s="4">
        <v>9585</v>
      </c>
      <c r="O58" t="s">
        <v>100</v>
      </c>
      <c r="P58" s="4">
        <v>6709.95</v>
      </c>
      <c r="S58">
        <v>48.5</v>
      </c>
      <c r="U58">
        <v>25</v>
      </c>
      <c r="W58">
        <v>78</v>
      </c>
      <c r="X58">
        <v>2</v>
      </c>
      <c r="Y58">
        <v>55</v>
      </c>
      <c r="Z58">
        <v>32</v>
      </c>
      <c r="AA58">
        <v>32</v>
      </c>
      <c r="AB58">
        <v>32.593000000000004</v>
      </c>
      <c r="AC58">
        <v>83.6</v>
      </c>
      <c r="AK58" t="s">
        <v>102</v>
      </c>
      <c r="AM58" t="s">
        <v>102</v>
      </c>
      <c r="AN58" t="s">
        <v>102</v>
      </c>
      <c r="AO58" t="s">
        <v>102</v>
      </c>
      <c r="AP58" t="s">
        <v>103</v>
      </c>
      <c r="AQ58" t="s">
        <v>104</v>
      </c>
      <c r="AV58" t="s">
        <v>102</v>
      </c>
      <c r="AX58" t="s">
        <v>297</v>
      </c>
      <c r="AZ58" t="s">
        <v>163</v>
      </c>
      <c r="BF58" t="s">
        <v>398</v>
      </c>
      <c r="BG58" t="s">
        <v>102</v>
      </c>
      <c r="BH58" t="s">
        <v>102</v>
      </c>
      <c r="BI58" t="s">
        <v>102</v>
      </c>
      <c r="BK58" t="s">
        <v>107</v>
      </c>
      <c r="CA58" t="s">
        <v>397</v>
      </c>
      <c r="CB58" t="s">
        <v>297</v>
      </c>
      <c r="CL58" t="s">
        <v>102</v>
      </c>
      <c r="CM58" t="s">
        <v>102</v>
      </c>
      <c r="CO58" s="1">
        <v>39690</v>
      </c>
      <c r="CP58" s="1">
        <v>43634</v>
      </c>
    </row>
    <row r="59" spans="1:94" x14ac:dyDescent="0.25">
      <c r="A59" t="s">
        <v>399</v>
      </c>
      <c r="B59" t="str">
        <f xml:space="preserve"> "" &amp; 840254019430</f>
        <v>840254019430</v>
      </c>
      <c r="C59" t="s">
        <v>400</v>
      </c>
      <c r="D59" t="s">
        <v>401</v>
      </c>
      <c r="F59" t="s">
        <v>371</v>
      </c>
      <c r="G59">
        <v>1</v>
      </c>
      <c r="H59">
        <v>1</v>
      </c>
      <c r="I59" t="s">
        <v>99</v>
      </c>
      <c r="J59" s="4">
        <v>5295</v>
      </c>
      <c r="K59" s="4">
        <v>15885</v>
      </c>
      <c r="O59" t="s">
        <v>100</v>
      </c>
      <c r="P59" s="4">
        <v>11119.95</v>
      </c>
      <c r="S59">
        <v>60</v>
      </c>
      <c r="U59">
        <v>33.75</v>
      </c>
      <c r="W59">
        <v>125</v>
      </c>
      <c r="X59">
        <v>2</v>
      </c>
      <c r="Y59">
        <v>76</v>
      </c>
      <c r="Z59">
        <v>45</v>
      </c>
      <c r="AA59">
        <v>45</v>
      </c>
      <c r="AB59">
        <v>89.063000000000002</v>
      </c>
      <c r="AC59">
        <v>133</v>
      </c>
      <c r="AE59">
        <v>8</v>
      </c>
      <c r="AF59" t="s">
        <v>383</v>
      </c>
      <c r="AH59">
        <v>4</v>
      </c>
      <c r="AI59" t="s">
        <v>383</v>
      </c>
      <c r="AK59" t="s">
        <v>102</v>
      </c>
      <c r="AM59" t="s">
        <v>102</v>
      </c>
      <c r="AN59" t="s">
        <v>102</v>
      </c>
      <c r="AO59" t="s">
        <v>102</v>
      </c>
      <c r="AP59" t="s">
        <v>103</v>
      </c>
      <c r="AQ59" t="s">
        <v>104</v>
      </c>
      <c r="AV59" t="s">
        <v>102</v>
      </c>
      <c r="AX59" t="s">
        <v>297</v>
      </c>
      <c r="AZ59" t="s">
        <v>163</v>
      </c>
      <c r="BF59" t="s">
        <v>402</v>
      </c>
      <c r="BG59" t="s">
        <v>102</v>
      </c>
      <c r="BH59" t="s">
        <v>102</v>
      </c>
      <c r="BI59" t="s">
        <v>102</v>
      </c>
      <c r="BK59" t="s">
        <v>107</v>
      </c>
      <c r="CA59" t="s">
        <v>399</v>
      </c>
      <c r="CB59" t="s">
        <v>297</v>
      </c>
      <c r="CL59" t="s">
        <v>102</v>
      </c>
      <c r="CM59" t="s">
        <v>102</v>
      </c>
      <c r="CO59" s="1">
        <v>37498</v>
      </c>
      <c r="CP59" s="1">
        <v>43634</v>
      </c>
    </row>
    <row r="60" spans="1:94" x14ac:dyDescent="0.25">
      <c r="A60" t="s">
        <v>403</v>
      </c>
      <c r="B60" t="str">
        <f xml:space="preserve"> "" &amp; 840254019454</f>
        <v>840254019454</v>
      </c>
      <c r="C60" t="s">
        <v>370</v>
      </c>
      <c r="D60" t="s">
        <v>370</v>
      </c>
      <c r="F60" t="s">
        <v>371</v>
      </c>
      <c r="G60">
        <v>1</v>
      </c>
      <c r="H60">
        <v>1</v>
      </c>
      <c r="I60" t="s">
        <v>99</v>
      </c>
      <c r="J60" s="4">
        <v>3595</v>
      </c>
      <c r="K60" s="4">
        <v>10785</v>
      </c>
      <c r="O60" t="s">
        <v>100</v>
      </c>
      <c r="P60" s="4">
        <v>7549.95</v>
      </c>
      <c r="S60">
        <v>48.25</v>
      </c>
      <c r="T60">
        <v>26</v>
      </c>
      <c r="U60">
        <v>26</v>
      </c>
      <c r="W60">
        <v>117</v>
      </c>
      <c r="X60">
        <v>2</v>
      </c>
      <c r="Y60">
        <v>51.97</v>
      </c>
      <c r="Z60">
        <v>28.35</v>
      </c>
      <c r="AA60">
        <v>28.35</v>
      </c>
      <c r="AB60">
        <v>24.172000000000001</v>
      </c>
      <c r="AC60">
        <v>110</v>
      </c>
      <c r="AE60">
        <v>9</v>
      </c>
      <c r="AF60" t="s">
        <v>101</v>
      </c>
      <c r="AG60">
        <v>60</v>
      </c>
      <c r="AK60" t="s">
        <v>102</v>
      </c>
      <c r="AM60" t="s">
        <v>102</v>
      </c>
      <c r="AN60" t="s">
        <v>102</v>
      </c>
      <c r="AO60" t="s">
        <v>102</v>
      </c>
      <c r="AP60" t="s">
        <v>103</v>
      </c>
      <c r="AQ60" t="s">
        <v>104</v>
      </c>
      <c r="AV60" t="s">
        <v>102</v>
      </c>
      <c r="AX60" t="s">
        <v>297</v>
      </c>
      <c r="AZ60" t="s">
        <v>163</v>
      </c>
      <c r="BB60" t="s">
        <v>54</v>
      </c>
      <c r="BC60" t="s">
        <v>404</v>
      </c>
      <c r="BF60" t="s">
        <v>405</v>
      </c>
      <c r="BG60" t="s">
        <v>102</v>
      </c>
      <c r="BH60" t="s">
        <v>102</v>
      </c>
      <c r="BI60" t="s">
        <v>102</v>
      </c>
      <c r="BK60" t="s">
        <v>107</v>
      </c>
      <c r="BR60">
        <v>2.75</v>
      </c>
      <c r="BT60">
        <v>8</v>
      </c>
      <c r="CA60" t="s">
        <v>403</v>
      </c>
      <c r="CB60" t="s">
        <v>297</v>
      </c>
      <c r="CL60" t="s">
        <v>102</v>
      </c>
      <c r="CM60" t="s">
        <v>102</v>
      </c>
      <c r="CN60" t="s">
        <v>406</v>
      </c>
      <c r="CO60" s="1">
        <v>41759</v>
      </c>
      <c r="CP60" s="1">
        <v>43634</v>
      </c>
    </row>
    <row r="61" spans="1:94" x14ac:dyDescent="0.25">
      <c r="A61" t="s">
        <v>407</v>
      </c>
      <c r="B61" t="str">
        <f xml:space="preserve"> "" &amp; 840254019553</f>
        <v>840254019553</v>
      </c>
      <c r="C61" t="s">
        <v>178</v>
      </c>
      <c r="D61" t="s">
        <v>178</v>
      </c>
      <c r="F61" t="s">
        <v>179</v>
      </c>
      <c r="G61">
        <v>1</v>
      </c>
      <c r="H61">
        <v>1</v>
      </c>
      <c r="I61" t="s">
        <v>99</v>
      </c>
      <c r="J61" s="4">
        <v>925</v>
      </c>
      <c r="K61" s="4">
        <v>2775</v>
      </c>
      <c r="O61" t="s">
        <v>100</v>
      </c>
      <c r="P61" s="4">
        <v>1944.95</v>
      </c>
      <c r="S61">
        <v>15.75</v>
      </c>
      <c r="U61">
        <v>12.25</v>
      </c>
      <c r="V61">
        <v>7</v>
      </c>
      <c r="W61">
        <v>11</v>
      </c>
      <c r="X61">
        <v>1</v>
      </c>
      <c r="Y61">
        <v>12</v>
      </c>
      <c r="Z61">
        <v>20</v>
      </c>
      <c r="AA61">
        <v>20</v>
      </c>
      <c r="AB61">
        <v>2.778</v>
      </c>
      <c r="AC61">
        <v>11</v>
      </c>
      <c r="AE61">
        <v>2</v>
      </c>
      <c r="AF61" t="s">
        <v>383</v>
      </c>
      <c r="AK61" t="s">
        <v>102</v>
      </c>
      <c r="AL61">
        <v>2</v>
      </c>
      <c r="AM61" t="s">
        <v>102</v>
      </c>
      <c r="AN61" t="s">
        <v>102</v>
      </c>
      <c r="AO61" t="s">
        <v>102</v>
      </c>
      <c r="AP61" t="s">
        <v>117</v>
      </c>
      <c r="AQ61" t="s">
        <v>104</v>
      </c>
      <c r="AV61" t="s">
        <v>102</v>
      </c>
      <c r="AX61" t="s">
        <v>297</v>
      </c>
      <c r="AZ61" t="s">
        <v>163</v>
      </c>
      <c r="BF61" t="s">
        <v>408</v>
      </c>
      <c r="BG61" t="s">
        <v>102</v>
      </c>
      <c r="BH61" t="s">
        <v>102</v>
      </c>
      <c r="BI61" t="s">
        <v>102</v>
      </c>
      <c r="BK61" t="s">
        <v>107</v>
      </c>
      <c r="BL61" t="s">
        <v>180</v>
      </c>
      <c r="CA61" t="s">
        <v>407</v>
      </c>
      <c r="CB61" t="s">
        <v>297</v>
      </c>
      <c r="CL61" t="s">
        <v>102</v>
      </c>
      <c r="CM61" t="s">
        <v>102</v>
      </c>
      <c r="CO61" s="1">
        <v>37498</v>
      </c>
      <c r="CP61" s="1">
        <v>43634</v>
      </c>
    </row>
    <row r="62" spans="1:94" x14ac:dyDescent="0.25">
      <c r="A62" t="s">
        <v>409</v>
      </c>
      <c r="B62" t="str">
        <f xml:space="preserve"> "" &amp; 840254019560</f>
        <v>840254019560</v>
      </c>
      <c r="C62" t="s">
        <v>178</v>
      </c>
      <c r="D62" t="s">
        <v>178</v>
      </c>
      <c r="F62" t="s">
        <v>179</v>
      </c>
      <c r="G62">
        <v>1</v>
      </c>
      <c r="H62">
        <v>1</v>
      </c>
      <c r="I62" t="s">
        <v>99</v>
      </c>
      <c r="J62" s="4">
        <v>725</v>
      </c>
      <c r="K62" s="4">
        <v>2175</v>
      </c>
      <c r="O62" t="s">
        <v>100</v>
      </c>
      <c r="P62" s="4">
        <v>1519.95</v>
      </c>
      <c r="S62">
        <v>18.75</v>
      </c>
      <c r="U62">
        <v>13.75</v>
      </c>
      <c r="V62">
        <v>7.75</v>
      </c>
      <c r="W62">
        <v>13.01</v>
      </c>
      <c r="X62">
        <v>1</v>
      </c>
      <c r="Y62">
        <v>12</v>
      </c>
      <c r="Z62">
        <v>18</v>
      </c>
      <c r="AA62">
        <v>18</v>
      </c>
      <c r="AB62">
        <v>2.25</v>
      </c>
      <c r="AC62">
        <v>15.19</v>
      </c>
      <c r="AE62">
        <v>2</v>
      </c>
      <c r="AF62" t="s">
        <v>410</v>
      </c>
      <c r="AG62">
        <v>60</v>
      </c>
      <c r="AK62" t="s">
        <v>102</v>
      </c>
      <c r="AL62">
        <v>2</v>
      </c>
      <c r="AM62" t="s">
        <v>102</v>
      </c>
      <c r="AN62" t="s">
        <v>102</v>
      </c>
      <c r="AO62" t="s">
        <v>102</v>
      </c>
      <c r="AP62" t="s">
        <v>117</v>
      </c>
      <c r="AQ62" t="s">
        <v>104</v>
      </c>
      <c r="AV62" t="s">
        <v>102</v>
      </c>
      <c r="AX62" t="s">
        <v>297</v>
      </c>
      <c r="AZ62" t="s">
        <v>163</v>
      </c>
      <c r="BF62" t="s">
        <v>411</v>
      </c>
      <c r="BG62" t="s">
        <v>102</v>
      </c>
      <c r="BH62" t="s">
        <v>102</v>
      </c>
      <c r="BI62" t="s">
        <v>102</v>
      </c>
      <c r="BK62" t="s">
        <v>107</v>
      </c>
      <c r="BL62" t="s">
        <v>180</v>
      </c>
      <c r="BQ62">
        <v>4.75</v>
      </c>
      <c r="BS62">
        <v>4.75</v>
      </c>
      <c r="BT62">
        <v>4.75</v>
      </c>
      <c r="CA62" t="s">
        <v>409</v>
      </c>
      <c r="CB62" t="s">
        <v>297</v>
      </c>
      <c r="CL62" t="s">
        <v>102</v>
      </c>
      <c r="CM62" t="s">
        <v>102</v>
      </c>
      <c r="CO62" s="1">
        <v>37345</v>
      </c>
      <c r="CP62" s="1">
        <v>43634</v>
      </c>
    </row>
    <row r="63" spans="1:94" x14ac:dyDescent="0.25">
      <c r="A63" t="s">
        <v>412</v>
      </c>
      <c r="B63" t="str">
        <f xml:space="preserve"> "" &amp; 840254019829</f>
        <v>840254019829</v>
      </c>
      <c r="C63" t="s">
        <v>290</v>
      </c>
      <c r="D63" t="s">
        <v>178</v>
      </c>
      <c r="F63" t="s">
        <v>179</v>
      </c>
      <c r="G63">
        <v>1</v>
      </c>
      <c r="H63">
        <v>1</v>
      </c>
      <c r="I63" t="s">
        <v>99</v>
      </c>
      <c r="J63" s="4">
        <v>215</v>
      </c>
      <c r="K63" s="4">
        <v>645</v>
      </c>
      <c r="O63" t="s">
        <v>100</v>
      </c>
      <c r="P63" s="4">
        <v>449.95</v>
      </c>
      <c r="S63">
        <v>17</v>
      </c>
      <c r="U63">
        <v>8</v>
      </c>
      <c r="V63">
        <v>4</v>
      </c>
      <c r="W63">
        <v>7.05</v>
      </c>
      <c r="X63">
        <v>1</v>
      </c>
      <c r="Y63">
        <v>13</v>
      </c>
      <c r="Z63">
        <v>15</v>
      </c>
      <c r="AA63">
        <v>10</v>
      </c>
      <c r="AB63">
        <v>1.1279999999999999</v>
      </c>
      <c r="AC63">
        <v>9.0399999999999991</v>
      </c>
      <c r="AE63">
        <v>1</v>
      </c>
      <c r="AF63" t="s">
        <v>413</v>
      </c>
      <c r="AG63">
        <v>100</v>
      </c>
      <c r="AK63" t="s">
        <v>102</v>
      </c>
      <c r="AM63" t="s">
        <v>102</v>
      </c>
      <c r="AN63" t="s">
        <v>102</v>
      </c>
      <c r="AO63" t="s">
        <v>100</v>
      </c>
      <c r="AP63" t="s">
        <v>117</v>
      </c>
      <c r="AQ63" t="s">
        <v>104</v>
      </c>
      <c r="AV63" t="s">
        <v>102</v>
      </c>
      <c r="AX63" t="s">
        <v>414</v>
      </c>
      <c r="AZ63" t="s">
        <v>163</v>
      </c>
      <c r="BF63" t="s">
        <v>415</v>
      </c>
      <c r="BG63" t="s">
        <v>102</v>
      </c>
      <c r="BH63" t="s">
        <v>100</v>
      </c>
      <c r="BI63" t="s">
        <v>102</v>
      </c>
      <c r="BK63" t="s">
        <v>107</v>
      </c>
      <c r="BL63" t="s">
        <v>180</v>
      </c>
      <c r="CA63" t="s">
        <v>416</v>
      </c>
      <c r="CB63" t="s">
        <v>414</v>
      </c>
      <c r="CL63" t="s">
        <v>102</v>
      </c>
      <c r="CM63" t="s">
        <v>102</v>
      </c>
      <c r="CN63" t="s">
        <v>417</v>
      </c>
      <c r="CO63" s="1">
        <v>37409</v>
      </c>
      <c r="CP63" s="1">
        <v>43634</v>
      </c>
    </row>
    <row r="64" spans="1:94" x14ac:dyDescent="0.25">
      <c r="A64" t="s">
        <v>418</v>
      </c>
      <c r="B64" t="str">
        <f xml:space="preserve"> "" &amp; 840254043206</f>
        <v>840254043206</v>
      </c>
      <c r="C64" t="s">
        <v>178</v>
      </c>
      <c r="D64" t="s">
        <v>419</v>
      </c>
      <c r="E64" t="s">
        <v>420</v>
      </c>
      <c r="F64" t="s">
        <v>179</v>
      </c>
      <c r="G64">
        <v>1</v>
      </c>
      <c r="H64">
        <v>1</v>
      </c>
      <c r="I64" t="s">
        <v>99</v>
      </c>
      <c r="J64" s="4">
        <v>150</v>
      </c>
      <c r="K64" s="4">
        <v>450</v>
      </c>
      <c r="O64" t="s">
        <v>100</v>
      </c>
      <c r="P64" s="4">
        <v>314.95</v>
      </c>
      <c r="S64">
        <v>18</v>
      </c>
      <c r="U64">
        <v>9.75</v>
      </c>
      <c r="V64">
        <v>7.75</v>
      </c>
      <c r="W64">
        <v>5.09</v>
      </c>
      <c r="X64">
        <v>1</v>
      </c>
      <c r="Y64">
        <v>11.25</v>
      </c>
      <c r="Z64">
        <v>20.5</v>
      </c>
      <c r="AA64">
        <v>13</v>
      </c>
      <c r="AB64">
        <v>1.7350000000000001</v>
      </c>
      <c r="AC64">
        <v>7.47</v>
      </c>
      <c r="AE64">
        <v>2</v>
      </c>
      <c r="AF64" t="s">
        <v>365</v>
      </c>
      <c r="AG64">
        <v>60</v>
      </c>
      <c r="AK64" t="s">
        <v>102</v>
      </c>
      <c r="AM64" t="s">
        <v>102</v>
      </c>
      <c r="AN64" t="s">
        <v>102</v>
      </c>
      <c r="AO64" t="s">
        <v>100</v>
      </c>
      <c r="AP64" t="s">
        <v>117</v>
      </c>
      <c r="AQ64" t="s">
        <v>104</v>
      </c>
      <c r="AV64" t="s">
        <v>102</v>
      </c>
      <c r="AX64" t="s">
        <v>421</v>
      </c>
      <c r="AZ64" t="s">
        <v>105</v>
      </c>
      <c r="BF64" t="s">
        <v>422</v>
      </c>
      <c r="BG64" t="s">
        <v>102</v>
      </c>
      <c r="BH64" t="s">
        <v>102</v>
      </c>
      <c r="BI64" t="s">
        <v>102</v>
      </c>
      <c r="BK64" t="s">
        <v>107</v>
      </c>
      <c r="BR64">
        <v>9</v>
      </c>
      <c r="BT64">
        <v>5</v>
      </c>
      <c r="CA64" t="s">
        <v>423</v>
      </c>
      <c r="CB64" t="s">
        <v>421</v>
      </c>
      <c r="CL64" t="s">
        <v>102</v>
      </c>
      <c r="CM64" t="s">
        <v>102</v>
      </c>
      <c r="CN64" t="s">
        <v>424</v>
      </c>
      <c r="CO64" s="1">
        <v>41703</v>
      </c>
      <c r="CP64" s="1">
        <v>43634</v>
      </c>
    </row>
    <row r="65" spans="1:94" x14ac:dyDescent="0.25">
      <c r="A65" t="s">
        <v>425</v>
      </c>
      <c r="B65" t="str">
        <f xml:space="preserve"> "" &amp; 840254043213</f>
        <v>840254043213</v>
      </c>
      <c r="C65" t="s">
        <v>217</v>
      </c>
      <c r="D65" t="s">
        <v>426</v>
      </c>
      <c r="E65" t="s">
        <v>420</v>
      </c>
      <c r="F65" t="s">
        <v>186</v>
      </c>
      <c r="G65">
        <v>1</v>
      </c>
      <c r="H65">
        <v>1</v>
      </c>
      <c r="I65" t="s">
        <v>99</v>
      </c>
      <c r="J65" s="4">
        <v>125</v>
      </c>
      <c r="K65" s="4">
        <v>375</v>
      </c>
      <c r="O65" t="s">
        <v>100</v>
      </c>
      <c r="P65" s="4">
        <v>264.95</v>
      </c>
      <c r="S65">
        <v>7.5</v>
      </c>
      <c r="U65">
        <v>15.75</v>
      </c>
      <c r="V65">
        <v>6.5</v>
      </c>
      <c r="W65">
        <v>7.12</v>
      </c>
      <c r="X65">
        <v>1</v>
      </c>
      <c r="Y65">
        <v>10.5</v>
      </c>
      <c r="Z65">
        <v>20</v>
      </c>
      <c r="AA65">
        <v>11.5</v>
      </c>
      <c r="AB65">
        <v>1.3979999999999999</v>
      </c>
      <c r="AC65">
        <v>9.0399999999999991</v>
      </c>
      <c r="AE65">
        <v>4</v>
      </c>
      <c r="AF65" t="s">
        <v>161</v>
      </c>
      <c r="AG65">
        <v>60</v>
      </c>
      <c r="AK65" t="s">
        <v>102</v>
      </c>
      <c r="AM65" t="s">
        <v>102</v>
      </c>
      <c r="AN65" t="s">
        <v>102</v>
      </c>
      <c r="AO65" t="s">
        <v>100</v>
      </c>
      <c r="AP65" t="s">
        <v>117</v>
      </c>
      <c r="AQ65" t="s">
        <v>104</v>
      </c>
      <c r="AV65" t="s">
        <v>102</v>
      </c>
      <c r="AX65" t="s">
        <v>421</v>
      </c>
      <c r="AZ65" t="s">
        <v>105</v>
      </c>
      <c r="BF65" t="s">
        <v>427</v>
      </c>
      <c r="BG65" t="s">
        <v>102</v>
      </c>
      <c r="BH65" t="s">
        <v>102</v>
      </c>
      <c r="BI65" t="s">
        <v>102</v>
      </c>
      <c r="BK65" t="s">
        <v>191</v>
      </c>
      <c r="BR65">
        <v>6</v>
      </c>
      <c r="BT65">
        <v>15.75</v>
      </c>
      <c r="CA65" t="s">
        <v>428</v>
      </c>
      <c r="CB65" t="s">
        <v>421</v>
      </c>
      <c r="CL65" t="s">
        <v>102</v>
      </c>
      <c r="CM65" t="s">
        <v>102</v>
      </c>
      <c r="CN65" t="s">
        <v>424</v>
      </c>
      <c r="CO65" s="1">
        <v>41703</v>
      </c>
      <c r="CP65" s="1">
        <v>43634</v>
      </c>
    </row>
    <row r="66" spans="1:94" x14ac:dyDescent="0.25">
      <c r="A66" t="s">
        <v>429</v>
      </c>
      <c r="B66" t="str">
        <f xml:space="preserve"> "" &amp; 840254043220</f>
        <v>840254043220</v>
      </c>
      <c r="C66" t="s">
        <v>285</v>
      </c>
      <c r="D66" t="s">
        <v>430</v>
      </c>
      <c r="E66" t="s">
        <v>420</v>
      </c>
      <c r="F66" t="s">
        <v>186</v>
      </c>
      <c r="G66">
        <v>1</v>
      </c>
      <c r="H66">
        <v>1</v>
      </c>
      <c r="I66" t="s">
        <v>99</v>
      </c>
      <c r="J66" s="4">
        <v>165</v>
      </c>
      <c r="K66" s="4">
        <v>495</v>
      </c>
      <c r="O66" t="s">
        <v>100</v>
      </c>
      <c r="P66" s="4">
        <v>344.95</v>
      </c>
      <c r="S66">
        <v>7.5</v>
      </c>
      <c r="U66">
        <v>21.5</v>
      </c>
      <c r="V66">
        <v>6.5</v>
      </c>
      <c r="W66">
        <v>9.92</v>
      </c>
      <c r="X66">
        <v>1</v>
      </c>
      <c r="Y66">
        <v>10.5</v>
      </c>
      <c r="Z66">
        <v>26</v>
      </c>
      <c r="AA66">
        <v>11.25</v>
      </c>
      <c r="AB66">
        <v>1.7769999999999999</v>
      </c>
      <c r="AC66">
        <v>12.15</v>
      </c>
      <c r="AE66">
        <v>6</v>
      </c>
      <c r="AF66" t="s">
        <v>365</v>
      </c>
      <c r="AG66">
        <v>60</v>
      </c>
      <c r="AK66" t="s">
        <v>102</v>
      </c>
      <c r="AM66" t="s">
        <v>102</v>
      </c>
      <c r="AN66" t="s">
        <v>102</v>
      </c>
      <c r="AO66" t="s">
        <v>100</v>
      </c>
      <c r="AP66" t="s">
        <v>117</v>
      </c>
      <c r="AQ66" t="s">
        <v>104</v>
      </c>
      <c r="AV66" t="s">
        <v>102</v>
      </c>
      <c r="AX66" t="s">
        <v>421</v>
      </c>
      <c r="AZ66" t="s">
        <v>105</v>
      </c>
      <c r="BF66" t="s">
        <v>431</v>
      </c>
      <c r="BG66" t="s">
        <v>102</v>
      </c>
      <c r="BH66" t="s">
        <v>102</v>
      </c>
      <c r="BI66" t="s">
        <v>102</v>
      </c>
      <c r="BK66" t="s">
        <v>191</v>
      </c>
      <c r="BR66">
        <v>6</v>
      </c>
      <c r="BT66">
        <v>21.63</v>
      </c>
      <c r="CA66" t="s">
        <v>432</v>
      </c>
      <c r="CB66" t="s">
        <v>421</v>
      </c>
      <c r="CL66" t="s">
        <v>102</v>
      </c>
      <c r="CM66" t="s">
        <v>102</v>
      </c>
      <c r="CN66" t="s">
        <v>424</v>
      </c>
      <c r="CO66" s="1">
        <v>41703</v>
      </c>
      <c r="CP66" s="1">
        <v>43634</v>
      </c>
    </row>
    <row r="67" spans="1:94" x14ac:dyDescent="0.25">
      <c r="A67" t="s">
        <v>433</v>
      </c>
      <c r="B67" t="str">
        <f xml:space="preserve"> "" &amp; 840254043237</f>
        <v>840254043237</v>
      </c>
      <c r="C67" t="s">
        <v>434</v>
      </c>
      <c r="D67" t="s">
        <v>435</v>
      </c>
      <c r="E67" t="s">
        <v>420</v>
      </c>
      <c r="F67" t="s">
        <v>186</v>
      </c>
      <c r="G67">
        <v>1</v>
      </c>
      <c r="H67">
        <v>1</v>
      </c>
      <c r="I67" t="s">
        <v>99</v>
      </c>
      <c r="J67" s="4">
        <v>195</v>
      </c>
      <c r="K67" s="4">
        <v>585</v>
      </c>
      <c r="O67" t="s">
        <v>100</v>
      </c>
      <c r="P67" s="4">
        <v>409.95</v>
      </c>
      <c r="S67">
        <v>7.5</v>
      </c>
      <c r="U67">
        <v>27.5</v>
      </c>
      <c r="V67">
        <v>6.5</v>
      </c>
      <c r="W67">
        <v>12.79</v>
      </c>
      <c r="X67">
        <v>1</v>
      </c>
      <c r="Y67">
        <v>10.5</v>
      </c>
      <c r="Z67">
        <v>32</v>
      </c>
      <c r="AA67">
        <v>11.5</v>
      </c>
      <c r="AB67">
        <v>2.2360000000000002</v>
      </c>
      <c r="AC67">
        <v>15.79</v>
      </c>
      <c r="AE67">
        <v>8</v>
      </c>
      <c r="AF67" t="s">
        <v>365</v>
      </c>
      <c r="AG67">
        <v>60</v>
      </c>
      <c r="AK67" t="s">
        <v>102</v>
      </c>
      <c r="AM67" t="s">
        <v>102</v>
      </c>
      <c r="AN67" t="s">
        <v>102</v>
      </c>
      <c r="AO67" t="s">
        <v>102</v>
      </c>
      <c r="AP67" t="s">
        <v>117</v>
      </c>
      <c r="AQ67" t="s">
        <v>104</v>
      </c>
      <c r="AV67" t="s">
        <v>102</v>
      </c>
      <c r="AX67" t="s">
        <v>421</v>
      </c>
      <c r="AZ67" t="s">
        <v>105</v>
      </c>
      <c r="BF67" t="s">
        <v>436</v>
      </c>
      <c r="BG67" t="s">
        <v>102</v>
      </c>
      <c r="BH67" t="s">
        <v>102</v>
      </c>
      <c r="BI67" t="s">
        <v>102</v>
      </c>
      <c r="BK67" t="s">
        <v>191</v>
      </c>
      <c r="BR67">
        <v>6</v>
      </c>
      <c r="BT67">
        <v>27.5</v>
      </c>
      <c r="CA67" t="s">
        <v>437</v>
      </c>
      <c r="CB67" t="s">
        <v>421</v>
      </c>
      <c r="CL67" t="s">
        <v>100</v>
      </c>
      <c r="CM67" t="s">
        <v>102</v>
      </c>
      <c r="CN67" t="s">
        <v>438</v>
      </c>
      <c r="CO67" s="1">
        <v>41703</v>
      </c>
      <c r="CP67" s="1">
        <v>43634</v>
      </c>
    </row>
    <row r="68" spans="1:94" x14ac:dyDescent="0.25">
      <c r="A68" t="s">
        <v>439</v>
      </c>
      <c r="B68" t="str">
        <f xml:space="preserve"> "" &amp; 840254038172</f>
        <v>840254038172</v>
      </c>
      <c r="C68" t="s">
        <v>290</v>
      </c>
      <c r="D68" t="s">
        <v>440</v>
      </c>
      <c r="E68" t="s">
        <v>441</v>
      </c>
      <c r="F68" t="s">
        <v>179</v>
      </c>
      <c r="G68">
        <v>1</v>
      </c>
      <c r="H68">
        <v>1</v>
      </c>
      <c r="I68" t="s">
        <v>99</v>
      </c>
      <c r="J68" s="4">
        <v>125</v>
      </c>
      <c r="K68" s="4">
        <v>375</v>
      </c>
      <c r="O68" t="s">
        <v>100</v>
      </c>
      <c r="P68" s="4">
        <v>264.95</v>
      </c>
      <c r="S68">
        <v>14.5</v>
      </c>
      <c r="U68">
        <v>5.5</v>
      </c>
      <c r="V68">
        <v>9.5</v>
      </c>
      <c r="W68">
        <v>3.7</v>
      </c>
      <c r="X68">
        <v>1</v>
      </c>
      <c r="Y68">
        <v>8</v>
      </c>
      <c r="Z68">
        <v>16.13</v>
      </c>
      <c r="AA68">
        <v>10.25</v>
      </c>
      <c r="AB68">
        <v>0.76500000000000001</v>
      </c>
      <c r="AC68">
        <v>5.03</v>
      </c>
      <c r="AE68">
        <v>1</v>
      </c>
      <c r="AF68" t="s">
        <v>167</v>
      </c>
      <c r="AG68">
        <v>60</v>
      </c>
      <c r="AK68" t="s">
        <v>102</v>
      </c>
      <c r="AL68">
        <v>1</v>
      </c>
      <c r="AM68" t="s">
        <v>102</v>
      </c>
      <c r="AN68" t="s">
        <v>100</v>
      </c>
      <c r="AO68" t="s">
        <v>102</v>
      </c>
      <c r="AP68" t="s">
        <v>117</v>
      </c>
      <c r="AQ68" t="s">
        <v>104</v>
      </c>
      <c r="AV68" t="s">
        <v>102</v>
      </c>
      <c r="AX68" t="s">
        <v>168</v>
      </c>
      <c r="AZ68" t="s">
        <v>163</v>
      </c>
      <c r="BB68" t="s">
        <v>442</v>
      </c>
      <c r="BC68" t="s">
        <v>443</v>
      </c>
      <c r="BF68" t="s">
        <v>444</v>
      </c>
      <c r="BG68" t="s">
        <v>102</v>
      </c>
      <c r="BH68" t="s">
        <v>102</v>
      </c>
      <c r="BI68" t="s">
        <v>102</v>
      </c>
      <c r="BK68" t="s">
        <v>191</v>
      </c>
      <c r="BL68" t="s">
        <v>180</v>
      </c>
      <c r="BR68">
        <v>6</v>
      </c>
      <c r="BT68">
        <v>4</v>
      </c>
      <c r="CA68" t="s">
        <v>445</v>
      </c>
      <c r="CB68" t="s">
        <v>168</v>
      </c>
      <c r="CL68" t="s">
        <v>102</v>
      </c>
      <c r="CM68" t="s">
        <v>102</v>
      </c>
      <c r="CN68" t="s">
        <v>446</v>
      </c>
      <c r="CO68" s="1">
        <v>40471</v>
      </c>
      <c r="CP68" s="1">
        <v>43634</v>
      </c>
    </row>
    <row r="69" spans="1:94" x14ac:dyDescent="0.25">
      <c r="A69" t="s">
        <v>447</v>
      </c>
      <c r="B69" t="str">
        <f xml:space="preserve"> "" &amp; 840254038189</f>
        <v>840254038189</v>
      </c>
      <c r="C69" t="s">
        <v>178</v>
      </c>
      <c r="D69" t="s">
        <v>448</v>
      </c>
      <c r="E69" t="s">
        <v>441</v>
      </c>
      <c r="F69" t="s">
        <v>179</v>
      </c>
      <c r="G69">
        <v>1</v>
      </c>
      <c r="H69">
        <v>1</v>
      </c>
      <c r="I69" t="s">
        <v>99</v>
      </c>
      <c r="J69" s="4">
        <v>150</v>
      </c>
      <c r="K69" s="4">
        <v>450</v>
      </c>
      <c r="O69" t="s">
        <v>100</v>
      </c>
      <c r="P69" s="4">
        <v>314.95</v>
      </c>
      <c r="S69">
        <v>13.75</v>
      </c>
      <c r="U69">
        <v>14.5</v>
      </c>
      <c r="V69">
        <v>9.25</v>
      </c>
      <c r="W69">
        <v>4.76</v>
      </c>
      <c r="X69">
        <v>1</v>
      </c>
      <c r="Y69">
        <v>11</v>
      </c>
      <c r="Z69">
        <v>19</v>
      </c>
      <c r="AA69">
        <v>15</v>
      </c>
      <c r="AB69">
        <v>1.8140000000000001</v>
      </c>
      <c r="AC69">
        <v>7.01</v>
      </c>
      <c r="AE69">
        <v>2</v>
      </c>
      <c r="AF69" t="s">
        <v>167</v>
      </c>
      <c r="AG69">
        <v>60</v>
      </c>
      <c r="AK69" t="s">
        <v>102</v>
      </c>
      <c r="AL69">
        <v>2</v>
      </c>
      <c r="AM69" t="s">
        <v>102</v>
      </c>
      <c r="AN69" t="s">
        <v>100</v>
      </c>
      <c r="AO69" t="s">
        <v>102</v>
      </c>
      <c r="AP69" t="s">
        <v>117</v>
      </c>
      <c r="AQ69" t="s">
        <v>104</v>
      </c>
      <c r="AV69" t="s">
        <v>102</v>
      </c>
      <c r="AX69" t="s">
        <v>168</v>
      </c>
      <c r="AZ69" t="s">
        <v>163</v>
      </c>
      <c r="BB69" t="s">
        <v>442</v>
      </c>
      <c r="BC69" t="s">
        <v>443</v>
      </c>
      <c r="BF69" t="s">
        <v>449</v>
      </c>
      <c r="BG69" t="s">
        <v>102</v>
      </c>
      <c r="BH69" t="s">
        <v>102</v>
      </c>
      <c r="BI69" t="s">
        <v>102</v>
      </c>
      <c r="BK69" t="s">
        <v>191</v>
      </c>
      <c r="BL69" t="s">
        <v>180</v>
      </c>
      <c r="BR69">
        <v>6</v>
      </c>
      <c r="BT69">
        <v>4</v>
      </c>
      <c r="CA69" t="s">
        <v>450</v>
      </c>
      <c r="CB69" t="s">
        <v>168</v>
      </c>
      <c r="CL69" t="s">
        <v>100</v>
      </c>
      <c r="CM69" t="s">
        <v>102</v>
      </c>
      <c r="CN69" t="s">
        <v>446</v>
      </c>
      <c r="CO69" s="1">
        <v>40471</v>
      </c>
      <c r="CP69" s="1">
        <v>43634</v>
      </c>
    </row>
    <row r="70" spans="1:94" x14ac:dyDescent="0.25">
      <c r="A70" t="s">
        <v>451</v>
      </c>
      <c r="B70" t="str">
        <f xml:space="preserve"> "" &amp; 840254038141</f>
        <v>840254038141</v>
      </c>
      <c r="C70" t="s">
        <v>290</v>
      </c>
      <c r="D70" t="s">
        <v>452</v>
      </c>
      <c r="E70" t="s">
        <v>453</v>
      </c>
      <c r="F70" t="s">
        <v>179</v>
      </c>
      <c r="G70">
        <v>1</v>
      </c>
      <c r="H70">
        <v>1</v>
      </c>
      <c r="I70" t="s">
        <v>99</v>
      </c>
      <c r="J70" s="4">
        <v>125</v>
      </c>
      <c r="K70" s="4">
        <v>375</v>
      </c>
      <c r="O70" t="s">
        <v>100</v>
      </c>
      <c r="P70" s="4">
        <v>264.95</v>
      </c>
      <c r="S70">
        <v>10.25</v>
      </c>
      <c r="U70">
        <v>4.5</v>
      </c>
      <c r="V70">
        <v>6.5</v>
      </c>
      <c r="W70">
        <v>3.17</v>
      </c>
      <c r="X70">
        <v>1</v>
      </c>
      <c r="Y70">
        <v>7.13</v>
      </c>
      <c r="Z70">
        <v>12.5</v>
      </c>
      <c r="AA70">
        <v>8.25</v>
      </c>
      <c r="AB70">
        <v>0.42599999999999999</v>
      </c>
      <c r="AC70">
        <v>3.86</v>
      </c>
      <c r="AE70">
        <v>1</v>
      </c>
      <c r="AF70" t="s">
        <v>167</v>
      </c>
      <c r="AG70">
        <v>60</v>
      </c>
      <c r="AK70" t="s">
        <v>102</v>
      </c>
      <c r="AM70" t="s">
        <v>102</v>
      </c>
      <c r="AN70" t="s">
        <v>100</v>
      </c>
      <c r="AO70" t="s">
        <v>102</v>
      </c>
      <c r="AP70" t="s">
        <v>117</v>
      </c>
      <c r="AQ70" t="s">
        <v>104</v>
      </c>
      <c r="AV70" t="s">
        <v>102</v>
      </c>
      <c r="AX70" t="s">
        <v>168</v>
      </c>
      <c r="AZ70" t="s">
        <v>454</v>
      </c>
      <c r="BF70" t="s">
        <v>455</v>
      </c>
      <c r="BG70" t="s">
        <v>102</v>
      </c>
      <c r="BH70" t="s">
        <v>102</v>
      </c>
      <c r="BI70" t="s">
        <v>102</v>
      </c>
      <c r="BK70" t="s">
        <v>191</v>
      </c>
      <c r="BM70">
        <v>4.5</v>
      </c>
      <c r="BN70">
        <v>6.25</v>
      </c>
      <c r="CA70" t="s">
        <v>456</v>
      </c>
      <c r="CB70" t="s">
        <v>168</v>
      </c>
      <c r="CL70" t="s">
        <v>100</v>
      </c>
      <c r="CM70" t="s">
        <v>102</v>
      </c>
      <c r="CN70" t="s">
        <v>457</v>
      </c>
      <c r="CO70" s="1">
        <v>40476</v>
      </c>
      <c r="CP70" s="1">
        <v>43634</v>
      </c>
    </row>
    <row r="71" spans="1:94" x14ac:dyDescent="0.25">
      <c r="A71" t="s">
        <v>458</v>
      </c>
      <c r="B71" t="str">
        <f xml:space="preserve"> "" &amp; 840254038158</f>
        <v>840254038158</v>
      </c>
      <c r="C71" t="s">
        <v>178</v>
      </c>
      <c r="D71" t="s">
        <v>459</v>
      </c>
      <c r="E71" t="s">
        <v>460</v>
      </c>
      <c r="F71" t="s">
        <v>179</v>
      </c>
      <c r="G71">
        <v>1</v>
      </c>
      <c r="H71">
        <v>1</v>
      </c>
      <c r="I71" t="s">
        <v>99</v>
      </c>
      <c r="J71" s="4">
        <v>145</v>
      </c>
      <c r="K71" s="4">
        <v>435</v>
      </c>
      <c r="O71" t="s">
        <v>100</v>
      </c>
      <c r="P71" s="4">
        <v>304.95</v>
      </c>
      <c r="S71">
        <v>14</v>
      </c>
      <c r="U71">
        <v>14</v>
      </c>
      <c r="V71">
        <v>6.25</v>
      </c>
      <c r="W71">
        <v>4.37</v>
      </c>
      <c r="X71">
        <v>1</v>
      </c>
      <c r="Y71">
        <v>8</v>
      </c>
      <c r="Z71">
        <v>20</v>
      </c>
      <c r="AA71">
        <v>14.5</v>
      </c>
      <c r="AB71">
        <v>1.343</v>
      </c>
      <c r="AC71">
        <v>6.26</v>
      </c>
      <c r="AE71">
        <v>2</v>
      </c>
      <c r="AF71" t="s">
        <v>167</v>
      </c>
      <c r="AG71">
        <v>60</v>
      </c>
      <c r="AK71" t="s">
        <v>102</v>
      </c>
      <c r="AL71">
        <v>2</v>
      </c>
      <c r="AM71" t="s">
        <v>102</v>
      </c>
      <c r="AN71" t="s">
        <v>100</v>
      </c>
      <c r="AO71" t="s">
        <v>102</v>
      </c>
      <c r="AP71" t="s">
        <v>117</v>
      </c>
      <c r="AQ71" t="s">
        <v>104</v>
      </c>
      <c r="AV71" t="s">
        <v>102</v>
      </c>
      <c r="AX71" t="s">
        <v>168</v>
      </c>
      <c r="AZ71" t="s">
        <v>163</v>
      </c>
      <c r="BB71" t="s">
        <v>442</v>
      </c>
      <c r="BC71" t="s">
        <v>443</v>
      </c>
      <c r="BF71" t="s">
        <v>461</v>
      </c>
      <c r="BG71" t="s">
        <v>102</v>
      </c>
      <c r="BH71" t="s">
        <v>102</v>
      </c>
      <c r="BI71" t="s">
        <v>102</v>
      </c>
      <c r="BK71" t="s">
        <v>191</v>
      </c>
      <c r="BL71" t="s">
        <v>180</v>
      </c>
      <c r="BR71">
        <v>6.38</v>
      </c>
      <c r="BT71">
        <v>4.38</v>
      </c>
      <c r="CA71" t="s">
        <v>462</v>
      </c>
      <c r="CB71" t="s">
        <v>168</v>
      </c>
      <c r="CL71" t="s">
        <v>102</v>
      </c>
      <c r="CM71" t="s">
        <v>102</v>
      </c>
      <c r="CN71" t="s">
        <v>181</v>
      </c>
      <c r="CO71" s="1">
        <v>40476</v>
      </c>
      <c r="CP71" s="1">
        <v>43634</v>
      </c>
    </row>
    <row r="72" spans="1:94" x14ac:dyDescent="0.25">
      <c r="A72" t="s">
        <v>463</v>
      </c>
      <c r="B72" t="str">
        <f xml:space="preserve"> "" &amp; 840254043022</f>
        <v>840254043022</v>
      </c>
      <c r="C72" t="s">
        <v>230</v>
      </c>
      <c r="D72" t="s">
        <v>464</v>
      </c>
      <c r="E72" t="s">
        <v>465</v>
      </c>
      <c r="F72" t="s">
        <v>179</v>
      </c>
      <c r="G72">
        <v>1</v>
      </c>
      <c r="H72">
        <v>1</v>
      </c>
      <c r="I72" t="s">
        <v>99</v>
      </c>
      <c r="J72" s="4">
        <v>185</v>
      </c>
      <c r="K72" s="4">
        <v>555</v>
      </c>
      <c r="O72" t="s">
        <v>100</v>
      </c>
      <c r="P72" s="4">
        <v>389.95</v>
      </c>
      <c r="S72">
        <v>12</v>
      </c>
      <c r="U72">
        <v>9.75</v>
      </c>
      <c r="V72">
        <v>7.75</v>
      </c>
      <c r="W72">
        <v>5.03</v>
      </c>
      <c r="X72">
        <v>1</v>
      </c>
      <c r="Y72">
        <v>11</v>
      </c>
      <c r="Z72">
        <v>15.75</v>
      </c>
      <c r="AA72">
        <v>13.5</v>
      </c>
      <c r="AB72">
        <v>1.3540000000000001</v>
      </c>
      <c r="AC72">
        <v>7.21</v>
      </c>
      <c r="AE72">
        <v>3</v>
      </c>
      <c r="AF72" t="s">
        <v>466</v>
      </c>
      <c r="AG72">
        <v>75</v>
      </c>
      <c r="AK72" t="s">
        <v>100</v>
      </c>
      <c r="AM72" t="s">
        <v>102</v>
      </c>
      <c r="AN72" t="s">
        <v>102</v>
      </c>
      <c r="AO72" t="s">
        <v>100</v>
      </c>
      <c r="AP72" t="s">
        <v>117</v>
      </c>
      <c r="AQ72" t="s">
        <v>104</v>
      </c>
      <c r="AV72" t="s">
        <v>102</v>
      </c>
      <c r="AX72" t="s">
        <v>467</v>
      </c>
      <c r="AZ72" t="s">
        <v>454</v>
      </c>
      <c r="BF72" t="s">
        <v>468</v>
      </c>
      <c r="BG72" t="s">
        <v>102</v>
      </c>
      <c r="BH72" t="s">
        <v>102</v>
      </c>
      <c r="BI72" t="s">
        <v>102</v>
      </c>
      <c r="BK72" t="s">
        <v>107</v>
      </c>
      <c r="BR72">
        <v>7</v>
      </c>
      <c r="BT72">
        <v>4.75</v>
      </c>
      <c r="CA72" t="s">
        <v>469</v>
      </c>
      <c r="CB72" t="s">
        <v>467</v>
      </c>
      <c r="CL72" t="s">
        <v>102</v>
      </c>
      <c r="CM72" t="s">
        <v>102</v>
      </c>
      <c r="CN72" t="s">
        <v>424</v>
      </c>
      <c r="CO72" s="1">
        <v>41703</v>
      </c>
      <c r="CP72" s="1">
        <v>43634</v>
      </c>
    </row>
    <row r="73" spans="1:94" x14ac:dyDescent="0.25">
      <c r="A73" t="s">
        <v>470</v>
      </c>
      <c r="B73" t="str">
        <f xml:space="preserve"> "" &amp; 840254043039</f>
        <v>840254043039</v>
      </c>
      <c r="C73" t="s">
        <v>217</v>
      </c>
      <c r="D73" t="s">
        <v>471</v>
      </c>
      <c r="E73" t="s">
        <v>465</v>
      </c>
      <c r="F73" t="s">
        <v>186</v>
      </c>
      <c r="G73">
        <v>1</v>
      </c>
      <c r="H73">
        <v>1</v>
      </c>
      <c r="I73" t="s">
        <v>99</v>
      </c>
      <c r="J73" s="4">
        <v>275</v>
      </c>
      <c r="K73" s="4">
        <v>825</v>
      </c>
      <c r="O73" t="s">
        <v>100</v>
      </c>
      <c r="P73" s="4">
        <v>579.95000000000005</v>
      </c>
      <c r="S73">
        <v>9</v>
      </c>
      <c r="U73">
        <v>24.75</v>
      </c>
      <c r="V73">
        <v>5.25</v>
      </c>
      <c r="W73">
        <v>7.94</v>
      </c>
      <c r="X73">
        <v>1</v>
      </c>
      <c r="Y73">
        <v>8.75</v>
      </c>
      <c r="Z73">
        <v>28.5</v>
      </c>
      <c r="AA73">
        <v>12.75</v>
      </c>
      <c r="AB73">
        <v>1.84</v>
      </c>
      <c r="AC73">
        <v>10.89</v>
      </c>
      <c r="AE73">
        <v>4</v>
      </c>
      <c r="AF73" t="s">
        <v>466</v>
      </c>
      <c r="AG73">
        <v>75</v>
      </c>
      <c r="AK73" t="s">
        <v>100</v>
      </c>
      <c r="AM73" t="s">
        <v>102</v>
      </c>
      <c r="AN73" t="s">
        <v>102</v>
      </c>
      <c r="AO73" t="s">
        <v>100</v>
      </c>
      <c r="AP73" t="s">
        <v>117</v>
      </c>
      <c r="AQ73" t="s">
        <v>104</v>
      </c>
      <c r="AV73" t="s">
        <v>102</v>
      </c>
      <c r="AX73" t="s">
        <v>467</v>
      </c>
      <c r="AZ73" t="s">
        <v>454</v>
      </c>
      <c r="BF73" t="s">
        <v>472</v>
      </c>
      <c r="BG73" t="s">
        <v>102</v>
      </c>
      <c r="BH73" t="s">
        <v>102</v>
      </c>
      <c r="BI73" t="s">
        <v>102</v>
      </c>
      <c r="BK73" t="s">
        <v>191</v>
      </c>
      <c r="BR73">
        <v>4.75</v>
      </c>
      <c r="BT73">
        <v>20.5</v>
      </c>
      <c r="CA73" t="s">
        <v>473</v>
      </c>
      <c r="CB73" t="s">
        <v>467</v>
      </c>
      <c r="CL73" t="s">
        <v>102</v>
      </c>
      <c r="CM73" t="s">
        <v>102</v>
      </c>
      <c r="CN73" t="s">
        <v>424</v>
      </c>
      <c r="CO73" s="1">
        <v>41703</v>
      </c>
      <c r="CP73" s="1">
        <v>43634</v>
      </c>
    </row>
    <row r="74" spans="1:94" x14ac:dyDescent="0.25">
      <c r="A74" t="s">
        <v>475</v>
      </c>
      <c r="B74" t="str">
        <f xml:space="preserve"> "" &amp; 840254041769</f>
        <v>840254041769</v>
      </c>
      <c r="C74" t="s">
        <v>178</v>
      </c>
      <c r="D74" t="s">
        <v>476</v>
      </c>
      <c r="E74" t="s">
        <v>477</v>
      </c>
      <c r="F74" t="s">
        <v>179</v>
      </c>
      <c r="G74">
        <v>1</v>
      </c>
      <c r="H74">
        <v>1</v>
      </c>
      <c r="I74" t="s">
        <v>99</v>
      </c>
      <c r="J74" s="4">
        <v>175</v>
      </c>
      <c r="K74" s="4">
        <v>525</v>
      </c>
      <c r="O74" t="s">
        <v>100</v>
      </c>
      <c r="P74" s="4">
        <v>369.95</v>
      </c>
      <c r="S74">
        <v>18.75</v>
      </c>
      <c r="U74">
        <v>15.75</v>
      </c>
      <c r="V74">
        <v>9.75</v>
      </c>
      <c r="W74">
        <v>5.18</v>
      </c>
      <c r="X74">
        <v>1</v>
      </c>
      <c r="Y74">
        <v>16.75</v>
      </c>
      <c r="Z74">
        <v>16.88</v>
      </c>
      <c r="AA74">
        <v>14.38</v>
      </c>
      <c r="AB74">
        <v>2.3530000000000002</v>
      </c>
      <c r="AC74">
        <v>9.33</v>
      </c>
      <c r="AE74">
        <v>2</v>
      </c>
      <c r="AF74" t="s">
        <v>478</v>
      </c>
      <c r="AG74">
        <v>60</v>
      </c>
      <c r="AK74" t="s">
        <v>102</v>
      </c>
      <c r="AL74">
        <v>2</v>
      </c>
      <c r="AM74" t="s">
        <v>102</v>
      </c>
      <c r="AN74" t="s">
        <v>100</v>
      </c>
      <c r="AO74" t="s">
        <v>102</v>
      </c>
      <c r="AP74" t="s">
        <v>117</v>
      </c>
      <c r="AQ74" t="s">
        <v>104</v>
      </c>
      <c r="AV74" t="s">
        <v>102</v>
      </c>
      <c r="AX74" t="s">
        <v>479</v>
      </c>
      <c r="AZ74" t="s">
        <v>163</v>
      </c>
      <c r="BB74" t="s">
        <v>480</v>
      </c>
      <c r="BC74" t="s">
        <v>481</v>
      </c>
      <c r="BD74" t="s">
        <v>482</v>
      </c>
      <c r="BF74" t="s">
        <v>483</v>
      </c>
      <c r="BG74" t="s">
        <v>102</v>
      </c>
      <c r="BH74" t="s">
        <v>102</v>
      </c>
      <c r="BI74" t="s">
        <v>102</v>
      </c>
      <c r="BK74" t="s">
        <v>484</v>
      </c>
      <c r="BL74" t="s">
        <v>180</v>
      </c>
      <c r="BT74">
        <v>6.38</v>
      </c>
      <c r="CA74" t="s">
        <v>485</v>
      </c>
      <c r="CB74" t="s">
        <v>479</v>
      </c>
      <c r="CL74" t="s">
        <v>100</v>
      </c>
      <c r="CM74" t="s">
        <v>102</v>
      </c>
      <c r="CN74" t="s">
        <v>486</v>
      </c>
      <c r="CO74" s="1">
        <v>41244</v>
      </c>
      <c r="CP74" s="1">
        <v>43634</v>
      </c>
    </row>
    <row r="75" spans="1:94" x14ac:dyDescent="0.25">
      <c r="A75" t="s">
        <v>487</v>
      </c>
      <c r="B75" t="str">
        <f xml:space="preserve"> "" &amp; 840254041776</f>
        <v>840254041776</v>
      </c>
      <c r="C75" t="s">
        <v>195</v>
      </c>
      <c r="D75" t="s">
        <v>488</v>
      </c>
      <c r="E75" t="s">
        <v>477</v>
      </c>
      <c r="F75" t="s">
        <v>186</v>
      </c>
      <c r="G75">
        <v>1</v>
      </c>
      <c r="H75">
        <v>1</v>
      </c>
      <c r="I75" t="s">
        <v>99</v>
      </c>
      <c r="J75" s="4">
        <v>85</v>
      </c>
      <c r="K75" s="4">
        <v>255</v>
      </c>
      <c r="O75" t="s">
        <v>100</v>
      </c>
      <c r="P75" s="4">
        <v>179.95</v>
      </c>
      <c r="S75">
        <v>11.5</v>
      </c>
      <c r="U75">
        <v>6.25</v>
      </c>
      <c r="V75">
        <v>9</v>
      </c>
      <c r="W75">
        <v>3.75</v>
      </c>
      <c r="X75">
        <v>1</v>
      </c>
      <c r="Y75">
        <v>10.25</v>
      </c>
      <c r="Z75">
        <v>14.88</v>
      </c>
      <c r="AA75">
        <v>8</v>
      </c>
      <c r="AB75">
        <v>0.70599999999999996</v>
      </c>
      <c r="AC75">
        <v>4.8499999999999996</v>
      </c>
      <c r="AE75">
        <v>1</v>
      </c>
      <c r="AF75" t="s">
        <v>489</v>
      </c>
      <c r="AG75">
        <v>100</v>
      </c>
      <c r="AK75" t="s">
        <v>102</v>
      </c>
      <c r="AM75" t="s">
        <v>102</v>
      </c>
      <c r="AN75" t="s">
        <v>100</v>
      </c>
      <c r="AO75" t="s">
        <v>102</v>
      </c>
      <c r="AP75" t="s">
        <v>117</v>
      </c>
      <c r="AQ75" t="s">
        <v>104</v>
      </c>
      <c r="AV75" t="s">
        <v>102</v>
      </c>
      <c r="AX75" t="s">
        <v>479</v>
      </c>
      <c r="AZ75" t="s">
        <v>163</v>
      </c>
      <c r="BB75" t="s">
        <v>118</v>
      </c>
      <c r="BC75" t="s">
        <v>490</v>
      </c>
      <c r="BD75" t="s">
        <v>491</v>
      </c>
      <c r="BF75" t="s">
        <v>492</v>
      </c>
      <c r="BG75" t="s">
        <v>102</v>
      </c>
      <c r="BH75" t="s">
        <v>102</v>
      </c>
      <c r="BI75" t="s">
        <v>102</v>
      </c>
      <c r="BK75" t="s">
        <v>484</v>
      </c>
      <c r="BL75" t="s">
        <v>336</v>
      </c>
      <c r="BM75">
        <v>6.38</v>
      </c>
      <c r="BN75">
        <v>6.38</v>
      </c>
      <c r="CA75" t="s">
        <v>493</v>
      </c>
      <c r="CB75" t="s">
        <v>479</v>
      </c>
      <c r="CL75" t="s">
        <v>100</v>
      </c>
      <c r="CM75" t="s">
        <v>102</v>
      </c>
      <c r="CN75" t="s">
        <v>494</v>
      </c>
      <c r="CO75" s="1">
        <v>41244</v>
      </c>
      <c r="CP75" s="1">
        <v>43634</v>
      </c>
    </row>
    <row r="76" spans="1:94" x14ac:dyDescent="0.25">
      <c r="A76" t="s">
        <v>495</v>
      </c>
      <c r="B76" t="str">
        <f xml:space="preserve"> "" &amp; 840254041783</f>
        <v>840254041783</v>
      </c>
      <c r="C76" t="s">
        <v>206</v>
      </c>
      <c r="D76" t="s">
        <v>496</v>
      </c>
      <c r="E76" t="s">
        <v>477</v>
      </c>
      <c r="F76" t="s">
        <v>186</v>
      </c>
      <c r="G76">
        <v>1</v>
      </c>
      <c r="H76">
        <v>1</v>
      </c>
      <c r="I76" t="s">
        <v>99</v>
      </c>
      <c r="J76" s="4">
        <v>125</v>
      </c>
      <c r="K76" s="4">
        <v>375</v>
      </c>
      <c r="O76" t="s">
        <v>100</v>
      </c>
      <c r="P76" s="4">
        <v>264.95</v>
      </c>
      <c r="S76">
        <v>11.5</v>
      </c>
      <c r="U76">
        <v>15.5</v>
      </c>
      <c r="V76">
        <v>9</v>
      </c>
      <c r="W76">
        <v>5.82</v>
      </c>
      <c r="X76">
        <v>1</v>
      </c>
      <c r="Y76">
        <v>15.38</v>
      </c>
      <c r="Z76">
        <v>14.88</v>
      </c>
      <c r="AA76">
        <v>9.75</v>
      </c>
      <c r="AB76">
        <v>1.2909999999999999</v>
      </c>
      <c r="AC76">
        <v>15.3</v>
      </c>
      <c r="AE76">
        <v>2</v>
      </c>
      <c r="AF76" t="s">
        <v>497</v>
      </c>
      <c r="AG76">
        <v>100</v>
      </c>
      <c r="AK76" t="s">
        <v>102</v>
      </c>
      <c r="AM76" t="s">
        <v>102</v>
      </c>
      <c r="AN76" t="s">
        <v>100</v>
      </c>
      <c r="AO76" t="s">
        <v>102</v>
      </c>
      <c r="AP76" t="s">
        <v>117</v>
      </c>
      <c r="AQ76" t="s">
        <v>104</v>
      </c>
      <c r="AV76" t="s">
        <v>102</v>
      </c>
      <c r="AX76" t="s">
        <v>479</v>
      </c>
      <c r="AZ76" t="s">
        <v>163</v>
      </c>
      <c r="BB76" t="s">
        <v>118</v>
      </c>
      <c r="BC76" t="s">
        <v>490</v>
      </c>
      <c r="BD76" t="s">
        <v>491</v>
      </c>
      <c r="BF76" t="s">
        <v>498</v>
      </c>
      <c r="BG76" t="s">
        <v>102</v>
      </c>
      <c r="BH76" t="s">
        <v>102</v>
      </c>
      <c r="BI76" t="s">
        <v>102</v>
      </c>
      <c r="BK76" t="s">
        <v>191</v>
      </c>
      <c r="BL76" t="s">
        <v>336</v>
      </c>
      <c r="BM76">
        <v>6.38</v>
      </c>
      <c r="BN76">
        <v>6.38</v>
      </c>
      <c r="BO76">
        <v>6.38</v>
      </c>
      <c r="CA76" t="s">
        <v>499</v>
      </c>
      <c r="CB76" t="s">
        <v>479</v>
      </c>
      <c r="CL76" t="s">
        <v>100</v>
      </c>
      <c r="CM76" t="s">
        <v>102</v>
      </c>
      <c r="CN76" t="s">
        <v>494</v>
      </c>
      <c r="CO76" s="1">
        <v>41244</v>
      </c>
      <c r="CP76" s="1">
        <v>43634</v>
      </c>
    </row>
    <row r="77" spans="1:94" x14ac:dyDescent="0.25">
      <c r="A77" t="s">
        <v>500</v>
      </c>
      <c r="B77" t="str">
        <f xml:space="preserve"> "" &amp; 840254041790</f>
        <v>840254041790</v>
      </c>
      <c r="C77" t="s">
        <v>211</v>
      </c>
      <c r="D77" t="s">
        <v>501</v>
      </c>
      <c r="E77" t="s">
        <v>477</v>
      </c>
      <c r="F77" t="s">
        <v>186</v>
      </c>
      <c r="G77">
        <v>1</v>
      </c>
      <c r="H77">
        <v>1</v>
      </c>
      <c r="I77" t="s">
        <v>99</v>
      </c>
      <c r="J77" s="4">
        <v>175</v>
      </c>
      <c r="K77" s="4">
        <v>525</v>
      </c>
      <c r="O77" t="s">
        <v>100</v>
      </c>
      <c r="P77" s="4">
        <v>369.95</v>
      </c>
      <c r="S77">
        <v>11.5</v>
      </c>
      <c r="U77">
        <v>23.5</v>
      </c>
      <c r="V77">
        <v>9</v>
      </c>
      <c r="W77">
        <v>9.08</v>
      </c>
      <c r="X77">
        <v>1</v>
      </c>
      <c r="Y77">
        <v>15.38</v>
      </c>
      <c r="Z77">
        <v>23</v>
      </c>
      <c r="AA77">
        <v>9.75</v>
      </c>
      <c r="AB77">
        <v>1.996</v>
      </c>
      <c r="AC77">
        <v>13.01</v>
      </c>
      <c r="AE77">
        <v>3</v>
      </c>
      <c r="AF77" t="s">
        <v>497</v>
      </c>
      <c r="AG77">
        <v>100</v>
      </c>
      <c r="AK77" t="s">
        <v>102</v>
      </c>
      <c r="AM77" t="s">
        <v>102</v>
      </c>
      <c r="AN77" t="s">
        <v>100</v>
      </c>
      <c r="AO77" t="s">
        <v>102</v>
      </c>
      <c r="AP77" t="s">
        <v>117</v>
      </c>
      <c r="AQ77" t="s">
        <v>104</v>
      </c>
      <c r="AV77" t="s">
        <v>102</v>
      </c>
      <c r="AX77" t="s">
        <v>479</v>
      </c>
      <c r="AZ77" t="s">
        <v>163</v>
      </c>
      <c r="BB77" t="s">
        <v>118</v>
      </c>
      <c r="BC77" t="s">
        <v>490</v>
      </c>
      <c r="BD77" t="s">
        <v>491</v>
      </c>
      <c r="BF77" t="s">
        <v>502</v>
      </c>
      <c r="BG77" t="s">
        <v>102</v>
      </c>
      <c r="BH77" t="s">
        <v>102</v>
      </c>
      <c r="BI77" t="s">
        <v>102</v>
      </c>
      <c r="BK77" t="s">
        <v>191</v>
      </c>
      <c r="BL77" t="s">
        <v>336</v>
      </c>
      <c r="BM77">
        <v>9.1300000000000008</v>
      </c>
      <c r="BN77">
        <v>5.63</v>
      </c>
      <c r="CA77" t="s">
        <v>503</v>
      </c>
      <c r="CB77" t="s">
        <v>479</v>
      </c>
      <c r="CL77" t="s">
        <v>100</v>
      </c>
      <c r="CM77" t="s">
        <v>102</v>
      </c>
      <c r="CN77" t="s">
        <v>504</v>
      </c>
      <c r="CO77" s="1">
        <v>41244</v>
      </c>
      <c r="CP77" s="1">
        <v>43634</v>
      </c>
    </row>
    <row r="78" spans="1:94" x14ac:dyDescent="0.25">
      <c r="A78" t="s">
        <v>505</v>
      </c>
      <c r="B78" t="str">
        <f xml:space="preserve"> "" &amp; 840254041806</f>
        <v>840254041806</v>
      </c>
      <c r="C78" t="s">
        <v>217</v>
      </c>
      <c r="D78" t="s">
        <v>506</v>
      </c>
      <c r="E78" t="s">
        <v>477</v>
      </c>
      <c r="F78" t="s">
        <v>186</v>
      </c>
      <c r="G78">
        <v>1</v>
      </c>
      <c r="H78">
        <v>1</v>
      </c>
      <c r="I78" t="s">
        <v>99</v>
      </c>
      <c r="J78" s="4">
        <v>195</v>
      </c>
      <c r="K78" s="4">
        <v>585</v>
      </c>
      <c r="O78" t="s">
        <v>100</v>
      </c>
      <c r="P78" s="4">
        <v>409.95</v>
      </c>
      <c r="S78">
        <v>11.5</v>
      </c>
      <c r="U78">
        <v>32.25</v>
      </c>
      <c r="V78">
        <v>9</v>
      </c>
      <c r="W78">
        <v>11.55</v>
      </c>
      <c r="X78">
        <v>1</v>
      </c>
      <c r="Y78">
        <v>15.38</v>
      </c>
      <c r="Z78">
        <v>31.75</v>
      </c>
      <c r="AA78">
        <v>9.75</v>
      </c>
      <c r="AB78">
        <v>2.7549999999999999</v>
      </c>
      <c r="AC78">
        <v>16.78</v>
      </c>
      <c r="AE78">
        <v>4</v>
      </c>
      <c r="AF78" t="s">
        <v>507</v>
      </c>
      <c r="AG78">
        <v>100</v>
      </c>
      <c r="AK78" t="s">
        <v>102</v>
      </c>
      <c r="AM78" t="s">
        <v>102</v>
      </c>
      <c r="AN78" t="s">
        <v>100</v>
      </c>
      <c r="AO78" t="s">
        <v>102</v>
      </c>
      <c r="AP78" t="s">
        <v>117</v>
      </c>
      <c r="AQ78" t="s">
        <v>104</v>
      </c>
      <c r="AV78" t="s">
        <v>102</v>
      </c>
      <c r="AX78" t="s">
        <v>479</v>
      </c>
      <c r="AZ78" t="s">
        <v>163</v>
      </c>
      <c r="BB78" t="s">
        <v>118</v>
      </c>
      <c r="BC78" t="s">
        <v>490</v>
      </c>
      <c r="BD78" t="s">
        <v>491</v>
      </c>
      <c r="BF78" t="s">
        <v>508</v>
      </c>
      <c r="BG78" t="s">
        <v>102</v>
      </c>
      <c r="BH78" t="s">
        <v>102</v>
      </c>
      <c r="BI78" t="s">
        <v>102</v>
      </c>
      <c r="BK78" t="s">
        <v>191</v>
      </c>
      <c r="BL78" t="s">
        <v>336</v>
      </c>
      <c r="BM78">
        <v>9.1300000000000008</v>
      </c>
      <c r="BN78">
        <v>5.63</v>
      </c>
      <c r="CA78" t="s">
        <v>509</v>
      </c>
      <c r="CB78" t="s">
        <v>479</v>
      </c>
      <c r="CL78" t="s">
        <v>100</v>
      </c>
      <c r="CM78" t="s">
        <v>102</v>
      </c>
      <c r="CN78" t="s">
        <v>494</v>
      </c>
      <c r="CO78" s="1">
        <v>41244</v>
      </c>
      <c r="CP78" s="1">
        <v>43634</v>
      </c>
    </row>
    <row r="79" spans="1:94" x14ac:dyDescent="0.25">
      <c r="A79" t="s">
        <v>510</v>
      </c>
      <c r="B79" t="str">
        <f xml:space="preserve"> "" &amp; 840254044449</f>
        <v>840254044449</v>
      </c>
      <c r="C79" t="s">
        <v>206</v>
      </c>
      <c r="D79" t="s">
        <v>511</v>
      </c>
      <c r="E79" t="s">
        <v>512</v>
      </c>
      <c r="F79" t="s">
        <v>186</v>
      </c>
      <c r="G79">
        <v>1</v>
      </c>
      <c r="H79">
        <v>1</v>
      </c>
      <c r="I79" t="s">
        <v>99</v>
      </c>
      <c r="J79" s="4">
        <v>95</v>
      </c>
      <c r="K79" s="4">
        <v>285</v>
      </c>
      <c r="O79" t="s">
        <v>100</v>
      </c>
      <c r="P79" s="4">
        <v>199.95</v>
      </c>
      <c r="S79">
        <v>10</v>
      </c>
      <c r="U79">
        <v>18</v>
      </c>
      <c r="V79">
        <v>5.75</v>
      </c>
      <c r="W79">
        <v>2.9</v>
      </c>
      <c r="X79">
        <v>1</v>
      </c>
      <c r="Y79">
        <v>12.25</v>
      </c>
      <c r="Z79">
        <v>20.5</v>
      </c>
      <c r="AA79">
        <v>8.1300000000000008</v>
      </c>
      <c r="AB79">
        <v>1.1819999999999999</v>
      </c>
      <c r="AC79">
        <v>5.0999999999999996</v>
      </c>
      <c r="AE79">
        <v>2</v>
      </c>
      <c r="AF79" t="s">
        <v>187</v>
      </c>
      <c r="AG79">
        <v>60</v>
      </c>
      <c r="AK79" t="s">
        <v>102</v>
      </c>
      <c r="AM79" t="s">
        <v>102</v>
      </c>
      <c r="AN79" t="s">
        <v>100</v>
      </c>
      <c r="AO79" t="s">
        <v>102</v>
      </c>
      <c r="AP79" t="s">
        <v>117</v>
      </c>
      <c r="AQ79" t="s">
        <v>104</v>
      </c>
      <c r="AV79" t="s">
        <v>102</v>
      </c>
      <c r="AX79" t="s">
        <v>479</v>
      </c>
      <c r="BF79" t="s">
        <v>513</v>
      </c>
      <c r="BG79" t="s">
        <v>102</v>
      </c>
      <c r="BH79" t="s">
        <v>102</v>
      </c>
      <c r="BI79" t="s">
        <v>102</v>
      </c>
      <c r="BK79" t="s">
        <v>191</v>
      </c>
      <c r="BR79">
        <v>0.88</v>
      </c>
      <c r="BT79">
        <v>18</v>
      </c>
      <c r="CA79" t="s">
        <v>514</v>
      </c>
      <c r="CB79" t="s">
        <v>479</v>
      </c>
      <c r="CL79" t="s">
        <v>102</v>
      </c>
      <c r="CM79" t="s">
        <v>102</v>
      </c>
      <c r="CN79" t="s">
        <v>193</v>
      </c>
      <c r="CO79" s="1">
        <v>42095</v>
      </c>
      <c r="CP79" s="1">
        <v>43634</v>
      </c>
    </row>
    <row r="80" spans="1:94" x14ac:dyDescent="0.25">
      <c r="A80" t="s">
        <v>515</v>
      </c>
      <c r="B80" t="str">
        <f xml:space="preserve"> "" &amp; 840254044456</f>
        <v>840254044456</v>
      </c>
      <c r="C80" t="s">
        <v>211</v>
      </c>
      <c r="D80" t="s">
        <v>516</v>
      </c>
      <c r="E80" t="s">
        <v>512</v>
      </c>
      <c r="F80" t="s">
        <v>186</v>
      </c>
      <c r="G80">
        <v>1</v>
      </c>
      <c r="H80">
        <v>1</v>
      </c>
      <c r="I80" t="s">
        <v>99</v>
      </c>
      <c r="J80" s="4">
        <v>135</v>
      </c>
      <c r="K80" s="4">
        <v>405</v>
      </c>
      <c r="O80" t="s">
        <v>100</v>
      </c>
      <c r="P80" s="4">
        <v>284.95</v>
      </c>
      <c r="S80">
        <v>10</v>
      </c>
      <c r="U80">
        <v>24</v>
      </c>
      <c r="V80">
        <v>5.75</v>
      </c>
      <c r="W80">
        <v>4.54</v>
      </c>
      <c r="X80">
        <v>1</v>
      </c>
      <c r="Y80">
        <v>12.25</v>
      </c>
      <c r="Z80">
        <v>26.5</v>
      </c>
      <c r="AA80">
        <v>8.1300000000000008</v>
      </c>
      <c r="AB80">
        <v>1.5269999999999999</v>
      </c>
      <c r="AC80">
        <v>6.86</v>
      </c>
      <c r="AE80">
        <v>3</v>
      </c>
      <c r="AF80" t="s">
        <v>176</v>
      </c>
      <c r="AG80">
        <v>60</v>
      </c>
      <c r="AK80" t="s">
        <v>102</v>
      </c>
      <c r="AM80" t="s">
        <v>102</v>
      </c>
      <c r="AN80" t="s">
        <v>100</v>
      </c>
      <c r="AO80" t="s">
        <v>102</v>
      </c>
      <c r="AP80" t="s">
        <v>117</v>
      </c>
      <c r="AQ80" t="s">
        <v>104</v>
      </c>
      <c r="AV80" t="s">
        <v>102</v>
      </c>
      <c r="AX80" t="s">
        <v>479</v>
      </c>
      <c r="BF80" t="s">
        <v>517</v>
      </c>
      <c r="BG80" t="s">
        <v>102</v>
      </c>
      <c r="BH80" t="s">
        <v>102</v>
      </c>
      <c r="BI80" t="s">
        <v>102</v>
      </c>
      <c r="BK80" t="s">
        <v>191</v>
      </c>
      <c r="BR80">
        <v>0.88</v>
      </c>
      <c r="BT80">
        <v>24</v>
      </c>
      <c r="CA80" t="s">
        <v>518</v>
      </c>
      <c r="CB80" t="s">
        <v>479</v>
      </c>
      <c r="CL80" t="s">
        <v>102</v>
      </c>
      <c r="CM80" t="s">
        <v>102</v>
      </c>
      <c r="CN80" t="s">
        <v>193</v>
      </c>
      <c r="CO80" s="1">
        <v>42095</v>
      </c>
      <c r="CP80" s="1">
        <v>43634</v>
      </c>
    </row>
    <row r="81" spans="1:94" x14ac:dyDescent="0.25">
      <c r="A81" t="s">
        <v>519</v>
      </c>
      <c r="B81" t="str">
        <f xml:space="preserve"> "" &amp; 840254044463</f>
        <v>840254044463</v>
      </c>
      <c r="C81" t="s">
        <v>217</v>
      </c>
      <c r="D81" t="s">
        <v>520</v>
      </c>
      <c r="E81" t="s">
        <v>512</v>
      </c>
      <c r="F81" t="s">
        <v>186</v>
      </c>
      <c r="G81">
        <v>1</v>
      </c>
      <c r="H81">
        <v>1</v>
      </c>
      <c r="I81" t="s">
        <v>99</v>
      </c>
      <c r="J81" s="4">
        <v>175</v>
      </c>
      <c r="K81" s="4">
        <v>525</v>
      </c>
      <c r="O81" t="s">
        <v>100</v>
      </c>
      <c r="P81" s="4">
        <v>369.95</v>
      </c>
      <c r="S81">
        <v>10</v>
      </c>
      <c r="U81">
        <v>30.5</v>
      </c>
      <c r="V81">
        <v>5.75</v>
      </c>
      <c r="W81">
        <v>5.82</v>
      </c>
      <c r="X81">
        <v>1</v>
      </c>
      <c r="Y81">
        <v>12.25</v>
      </c>
      <c r="Z81">
        <v>32.5</v>
      </c>
      <c r="AA81">
        <v>8.1300000000000008</v>
      </c>
      <c r="AB81">
        <v>1.873</v>
      </c>
      <c r="AC81">
        <v>8.73</v>
      </c>
      <c r="AE81">
        <v>4</v>
      </c>
      <c r="AF81" t="s">
        <v>176</v>
      </c>
      <c r="AG81">
        <v>60</v>
      </c>
      <c r="AK81" t="s">
        <v>102</v>
      </c>
      <c r="AM81" t="s">
        <v>102</v>
      </c>
      <c r="AN81" t="s">
        <v>100</v>
      </c>
      <c r="AO81" t="s">
        <v>102</v>
      </c>
      <c r="AP81" t="s">
        <v>117</v>
      </c>
      <c r="AQ81" t="s">
        <v>104</v>
      </c>
      <c r="AV81" t="s">
        <v>102</v>
      </c>
      <c r="AX81" t="s">
        <v>479</v>
      </c>
      <c r="BF81" t="s">
        <v>521</v>
      </c>
      <c r="BG81" t="s">
        <v>102</v>
      </c>
      <c r="BH81" t="s">
        <v>102</v>
      </c>
      <c r="BI81" t="s">
        <v>102</v>
      </c>
      <c r="BK81" t="s">
        <v>191</v>
      </c>
      <c r="BR81">
        <v>0.88</v>
      </c>
      <c r="BT81">
        <v>30</v>
      </c>
      <c r="CA81" t="s">
        <v>522</v>
      </c>
      <c r="CB81" t="s">
        <v>479</v>
      </c>
      <c r="CL81" t="s">
        <v>102</v>
      </c>
      <c r="CM81" t="s">
        <v>102</v>
      </c>
      <c r="CN81" t="s">
        <v>193</v>
      </c>
      <c r="CO81" s="1">
        <v>42095</v>
      </c>
      <c r="CP81" s="1">
        <v>43634</v>
      </c>
    </row>
    <row r="82" spans="1:94" x14ac:dyDescent="0.25">
      <c r="A82" t="s">
        <v>523</v>
      </c>
      <c r="B82" t="str">
        <f xml:space="preserve"> "" &amp; 840254040120</f>
        <v>840254040120</v>
      </c>
      <c r="C82" t="s">
        <v>290</v>
      </c>
      <c r="D82" t="s">
        <v>524</v>
      </c>
      <c r="E82" t="s">
        <v>525</v>
      </c>
      <c r="F82" t="s">
        <v>179</v>
      </c>
      <c r="G82">
        <v>1</v>
      </c>
      <c r="H82">
        <v>1</v>
      </c>
      <c r="I82" t="s">
        <v>99</v>
      </c>
      <c r="J82" s="4">
        <v>105</v>
      </c>
      <c r="K82" s="4">
        <v>315</v>
      </c>
      <c r="O82" t="s">
        <v>100</v>
      </c>
      <c r="P82" s="4">
        <v>219.95</v>
      </c>
      <c r="S82">
        <v>26.75</v>
      </c>
      <c r="U82">
        <v>12</v>
      </c>
      <c r="V82">
        <v>4</v>
      </c>
      <c r="W82">
        <v>6.61</v>
      </c>
      <c r="X82">
        <v>1</v>
      </c>
      <c r="Y82">
        <v>9.75</v>
      </c>
      <c r="Z82">
        <v>24.75</v>
      </c>
      <c r="AA82">
        <v>8</v>
      </c>
      <c r="AB82">
        <v>1.117</v>
      </c>
      <c r="AC82">
        <v>9.5500000000000007</v>
      </c>
      <c r="AE82">
        <v>1</v>
      </c>
      <c r="AF82" t="s">
        <v>526</v>
      </c>
      <c r="AG82">
        <v>60</v>
      </c>
      <c r="AK82" t="s">
        <v>102</v>
      </c>
      <c r="AM82" t="s">
        <v>102</v>
      </c>
      <c r="AN82" t="s">
        <v>102</v>
      </c>
      <c r="AO82" t="s">
        <v>100</v>
      </c>
      <c r="AP82" t="s">
        <v>117</v>
      </c>
      <c r="AQ82" t="s">
        <v>104</v>
      </c>
      <c r="AV82" t="s">
        <v>102</v>
      </c>
      <c r="AX82" t="s">
        <v>527</v>
      </c>
      <c r="AZ82" t="s">
        <v>163</v>
      </c>
      <c r="BF82" t="s">
        <v>528</v>
      </c>
      <c r="BG82" t="s">
        <v>102</v>
      </c>
      <c r="BH82" t="s">
        <v>100</v>
      </c>
      <c r="BI82" t="s">
        <v>102</v>
      </c>
      <c r="BK82" t="s">
        <v>191</v>
      </c>
      <c r="BR82">
        <v>4.5</v>
      </c>
      <c r="BT82">
        <v>4.5</v>
      </c>
      <c r="CA82" t="s">
        <v>529</v>
      </c>
      <c r="CB82" t="s">
        <v>527</v>
      </c>
      <c r="CL82" t="s">
        <v>102</v>
      </c>
      <c r="CM82" t="s">
        <v>102</v>
      </c>
      <c r="CN82" t="s">
        <v>530</v>
      </c>
      <c r="CO82" s="1">
        <v>40793</v>
      </c>
      <c r="CP82" s="1">
        <v>43634</v>
      </c>
    </row>
    <row r="83" spans="1:94" x14ac:dyDescent="0.25">
      <c r="A83" t="s">
        <v>531</v>
      </c>
      <c r="B83" t="str">
        <f xml:space="preserve"> "" &amp; 840254040144</f>
        <v>840254040144</v>
      </c>
      <c r="C83" t="s">
        <v>206</v>
      </c>
      <c r="D83" t="s">
        <v>532</v>
      </c>
      <c r="E83" t="s">
        <v>525</v>
      </c>
      <c r="F83" t="s">
        <v>186</v>
      </c>
      <c r="G83">
        <v>1</v>
      </c>
      <c r="H83">
        <v>1</v>
      </c>
      <c r="I83" t="s">
        <v>99</v>
      </c>
      <c r="J83" s="4">
        <v>75</v>
      </c>
      <c r="K83" s="4">
        <v>225</v>
      </c>
      <c r="O83" t="s">
        <v>100</v>
      </c>
      <c r="P83" s="4">
        <v>159.94999999999999</v>
      </c>
      <c r="S83">
        <v>6.5</v>
      </c>
      <c r="U83">
        <v>12.75</v>
      </c>
      <c r="V83">
        <v>5.5</v>
      </c>
      <c r="W83">
        <v>5.29</v>
      </c>
      <c r="X83">
        <v>1</v>
      </c>
      <c r="Y83">
        <v>13</v>
      </c>
      <c r="Z83">
        <v>15.75</v>
      </c>
      <c r="AA83">
        <v>8.25</v>
      </c>
      <c r="AB83">
        <v>0.97799999999999998</v>
      </c>
      <c r="AC83">
        <v>6.99</v>
      </c>
      <c r="AE83">
        <v>2</v>
      </c>
      <c r="AF83" t="s">
        <v>198</v>
      </c>
      <c r="AG83">
        <v>100</v>
      </c>
      <c r="AK83" t="s">
        <v>102</v>
      </c>
      <c r="AM83" t="s">
        <v>102</v>
      </c>
      <c r="AN83" t="s">
        <v>102</v>
      </c>
      <c r="AO83" t="s">
        <v>100</v>
      </c>
      <c r="AP83" t="s">
        <v>117</v>
      </c>
      <c r="AQ83" t="s">
        <v>104</v>
      </c>
      <c r="AV83" t="s">
        <v>102</v>
      </c>
      <c r="AX83" t="s">
        <v>527</v>
      </c>
      <c r="AZ83" t="s">
        <v>163</v>
      </c>
      <c r="BC83" t="s">
        <v>533</v>
      </c>
      <c r="BF83" t="s">
        <v>534</v>
      </c>
      <c r="BG83" t="s">
        <v>102</v>
      </c>
      <c r="BH83" t="s">
        <v>102</v>
      </c>
      <c r="BI83" t="s">
        <v>102</v>
      </c>
      <c r="BK83" t="s">
        <v>191</v>
      </c>
      <c r="BL83" t="s">
        <v>244</v>
      </c>
      <c r="BR83">
        <v>4.75</v>
      </c>
      <c r="BT83">
        <v>10.75</v>
      </c>
      <c r="CA83" t="s">
        <v>535</v>
      </c>
      <c r="CB83" t="s">
        <v>527</v>
      </c>
      <c r="CL83" t="s">
        <v>102</v>
      </c>
      <c r="CM83" t="s">
        <v>102</v>
      </c>
      <c r="CN83" t="s">
        <v>229</v>
      </c>
      <c r="CO83" s="1">
        <v>40793</v>
      </c>
      <c r="CP83" s="1">
        <v>43634</v>
      </c>
    </row>
    <row r="84" spans="1:94" x14ac:dyDescent="0.25">
      <c r="A84" t="s">
        <v>536</v>
      </c>
      <c r="B84" t="str">
        <f xml:space="preserve"> "" &amp; 840254040137</f>
        <v>840254040137</v>
      </c>
      <c r="C84" t="s">
        <v>211</v>
      </c>
      <c r="D84" t="s">
        <v>537</v>
      </c>
      <c r="E84" t="s">
        <v>525</v>
      </c>
      <c r="F84" t="s">
        <v>186</v>
      </c>
      <c r="G84">
        <v>1</v>
      </c>
      <c r="H84">
        <v>1</v>
      </c>
      <c r="I84" t="s">
        <v>99</v>
      </c>
      <c r="J84" s="4">
        <v>105</v>
      </c>
      <c r="K84" s="4">
        <v>315</v>
      </c>
      <c r="O84" t="s">
        <v>100</v>
      </c>
      <c r="P84" s="4">
        <v>219.95</v>
      </c>
      <c r="S84">
        <v>6.5</v>
      </c>
      <c r="U84">
        <v>21</v>
      </c>
      <c r="V84">
        <v>5.5</v>
      </c>
      <c r="W84">
        <v>7.72</v>
      </c>
      <c r="X84">
        <v>1</v>
      </c>
      <c r="Y84">
        <v>13</v>
      </c>
      <c r="Z84">
        <v>24.5</v>
      </c>
      <c r="AA84">
        <v>8.25</v>
      </c>
      <c r="AB84">
        <v>1.5209999999999999</v>
      </c>
      <c r="AC84">
        <v>10.69</v>
      </c>
      <c r="AE84">
        <v>3</v>
      </c>
      <c r="AF84" t="s">
        <v>198</v>
      </c>
      <c r="AG84">
        <v>100</v>
      </c>
      <c r="AK84" t="s">
        <v>102</v>
      </c>
      <c r="AM84" t="s">
        <v>102</v>
      </c>
      <c r="AN84" t="s">
        <v>102</v>
      </c>
      <c r="AO84" t="s">
        <v>100</v>
      </c>
      <c r="AP84" t="s">
        <v>117</v>
      </c>
      <c r="AQ84" t="s">
        <v>104</v>
      </c>
      <c r="AV84" t="s">
        <v>102</v>
      </c>
      <c r="AX84" t="s">
        <v>527</v>
      </c>
      <c r="AZ84" t="s">
        <v>163</v>
      </c>
      <c r="BC84" t="s">
        <v>533</v>
      </c>
      <c r="BF84" t="s">
        <v>538</v>
      </c>
      <c r="BG84" t="s">
        <v>102</v>
      </c>
      <c r="BH84" t="s">
        <v>102</v>
      </c>
      <c r="BI84" t="s">
        <v>102</v>
      </c>
      <c r="BK84" t="s">
        <v>191</v>
      </c>
      <c r="BL84" t="s">
        <v>244</v>
      </c>
      <c r="CA84" t="s">
        <v>539</v>
      </c>
      <c r="CB84" t="s">
        <v>527</v>
      </c>
      <c r="CL84" t="s">
        <v>102</v>
      </c>
      <c r="CM84" t="s">
        <v>102</v>
      </c>
      <c r="CN84" t="s">
        <v>229</v>
      </c>
      <c r="CO84" s="1">
        <v>40793</v>
      </c>
      <c r="CP84" s="1">
        <v>43634</v>
      </c>
    </row>
    <row r="85" spans="1:94" x14ac:dyDescent="0.25">
      <c r="A85" t="s">
        <v>540</v>
      </c>
      <c r="B85" t="str">
        <f xml:space="preserve"> "" &amp; 840254040151</f>
        <v>840254040151</v>
      </c>
      <c r="C85" t="s">
        <v>217</v>
      </c>
      <c r="D85" t="s">
        <v>541</v>
      </c>
      <c r="E85" t="s">
        <v>525</v>
      </c>
      <c r="F85" t="s">
        <v>186</v>
      </c>
      <c r="G85">
        <v>1</v>
      </c>
      <c r="H85">
        <v>1</v>
      </c>
      <c r="I85" t="s">
        <v>99</v>
      </c>
      <c r="J85" s="4">
        <v>135</v>
      </c>
      <c r="K85" s="4">
        <v>405</v>
      </c>
      <c r="O85" t="s">
        <v>100</v>
      </c>
      <c r="P85" s="4">
        <v>284.95</v>
      </c>
      <c r="S85">
        <v>6.5</v>
      </c>
      <c r="U85">
        <v>29</v>
      </c>
      <c r="V85">
        <v>5.5</v>
      </c>
      <c r="W85">
        <v>10.67</v>
      </c>
      <c r="X85">
        <v>1</v>
      </c>
      <c r="Y85">
        <v>13</v>
      </c>
      <c r="Z85">
        <v>32.75</v>
      </c>
      <c r="AA85">
        <v>8.25</v>
      </c>
      <c r="AB85">
        <v>2.0329999999999999</v>
      </c>
      <c r="AC85">
        <v>14.55</v>
      </c>
      <c r="AE85">
        <v>4</v>
      </c>
      <c r="AF85" t="s">
        <v>198</v>
      </c>
      <c r="AG85">
        <v>100</v>
      </c>
      <c r="AK85" t="s">
        <v>102</v>
      </c>
      <c r="AM85" t="s">
        <v>102</v>
      </c>
      <c r="AN85" t="s">
        <v>102</v>
      </c>
      <c r="AO85" t="s">
        <v>100</v>
      </c>
      <c r="AP85" t="s">
        <v>117</v>
      </c>
      <c r="AQ85" t="s">
        <v>104</v>
      </c>
      <c r="AV85" t="s">
        <v>102</v>
      </c>
      <c r="AX85" t="s">
        <v>527</v>
      </c>
      <c r="AZ85" t="s">
        <v>163</v>
      </c>
      <c r="BC85" t="s">
        <v>533</v>
      </c>
      <c r="BF85" t="s">
        <v>542</v>
      </c>
      <c r="BG85" t="s">
        <v>102</v>
      </c>
      <c r="BH85" t="s">
        <v>102</v>
      </c>
      <c r="BI85" t="s">
        <v>102</v>
      </c>
      <c r="BK85" t="s">
        <v>191</v>
      </c>
      <c r="BL85" t="s">
        <v>244</v>
      </c>
      <c r="BR85">
        <v>4.25</v>
      </c>
      <c r="BT85">
        <v>20</v>
      </c>
      <c r="CA85" t="s">
        <v>543</v>
      </c>
      <c r="CB85" t="s">
        <v>527</v>
      </c>
      <c r="CL85" t="s">
        <v>102</v>
      </c>
      <c r="CM85" t="s">
        <v>102</v>
      </c>
      <c r="CN85" t="s">
        <v>229</v>
      </c>
      <c r="CO85" s="1">
        <v>40793</v>
      </c>
      <c r="CP85" s="1">
        <v>43634</v>
      </c>
    </row>
    <row r="86" spans="1:94" x14ac:dyDescent="0.25">
      <c r="A86" t="s">
        <v>544</v>
      </c>
      <c r="B86" t="str">
        <f xml:space="preserve"> "" &amp; 840254038578</f>
        <v>840254038578</v>
      </c>
      <c r="C86" t="s">
        <v>178</v>
      </c>
      <c r="D86" t="s">
        <v>545</v>
      </c>
      <c r="E86" t="s">
        <v>525</v>
      </c>
      <c r="F86" t="s">
        <v>179</v>
      </c>
      <c r="G86">
        <v>1</v>
      </c>
      <c r="H86">
        <v>1</v>
      </c>
      <c r="I86" t="s">
        <v>99</v>
      </c>
      <c r="J86" s="4">
        <v>115</v>
      </c>
      <c r="K86" s="4">
        <v>345</v>
      </c>
      <c r="O86" t="s">
        <v>100</v>
      </c>
      <c r="P86" s="4">
        <v>239.95</v>
      </c>
      <c r="S86">
        <v>15.5</v>
      </c>
      <c r="U86">
        <v>6.75</v>
      </c>
      <c r="V86">
        <v>4</v>
      </c>
      <c r="W86">
        <v>5.51</v>
      </c>
      <c r="X86">
        <v>1</v>
      </c>
      <c r="Y86">
        <v>6.5</v>
      </c>
      <c r="Z86">
        <v>17.88</v>
      </c>
      <c r="AA86">
        <v>10</v>
      </c>
      <c r="AB86">
        <v>0.67300000000000004</v>
      </c>
      <c r="AC86">
        <v>7.52</v>
      </c>
      <c r="AE86">
        <v>2</v>
      </c>
      <c r="AF86" t="s">
        <v>167</v>
      </c>
      <c r="AG86">
        <v>60</v>
      </c>
      <c r="AK86" t="s">
        <v>102</v>
      </c>
      <c r="AM86" t="s">
        <v>102</v>
      </c>
      <c r="AN86" t="s">
        <v>102</v>
      </c>
      <c r="AO86" t="s">
        <v>100</v>
      </c>
      <c r="AP86" t="s">
        <v>117</v>
      </c>
      <c r="AQ86" t="s">
        <v>104</v>
      </c>
      <c r="AV86" t="s">
        <v>102</v>
      </c>
      <c r="AX86" t="s">
        <v>527</v>
      </c>
      <c r="AZ86" t="s">
        <v>163</v>
      </c>
      <c r="BF86" t="s">
        <v>546</v>
      </c>
      <c r="BG86" t="s">
        <v>102</v>
      </c>
      <c r="BH86" t="s">
        <v>100</v>
      </c>
      <c r="BI86" t="s">
        <v>102</v>
      </c>
      <c r="BK86" t="s">
        <v>191</v>
      </c>
      <c r="BL86" t="s">
        <v>547</v>
      </c>
      <c r="BR86">
        <v>13.63</v>
      </c>
      <c r="BT86">
        <v>6.75</v>
      </c>
      <c r="CA86" t="s">
        <v>548</v>
      </c>
      <c r="CB86" t="s">
        <v>527</v>
      </c>
      <c r="CL86" t="s">
        <v>100</v>
      </c>
      <c r="CM86" t="s">
        <v>102</v>
      </c>
      <c r="CN86" t="s">
        <v>193</v>
      </c>
      <c r="CO86" s="1">
        <v>40507</v>
      </c>
      <c r="CP86" s="1">
        <v>43634</v>
      </c>
    </row>
    <row r="87" spans="1:94" x14ac:dyDescent="0.25">
      <c r="A87" t="s">
        <v>549</v>
      </c>
      <c r="B87" t="str">
        <f xml:space="preserve"> "" &amp; 840254044500</f>
        <v>840254044500</v>
      </c>
      <c r="C87" t="s">
        <v>195</v>
      </c>
      <c r="D87" t="s">
        <v>550</v>
      </c>
      <c r="E87" t="s">
        <v>551</v>
      </c>
      <c r="F87" t="s">
        <v>186</v>
      </c>
      <c r="G87">
        <v>1</v>
      </c>
      <c r="H87">
        <v>1</v>
      </c>
      <c r="I87" t="s">
        <v>99</v>
      </c>
      <c r="J87" s="4">
        <v>95</v>
      </c>
      <c r="K87" s="4">
        <v>285</v>
      </c>
      <c r="S87">
        <v>10</v>
      </c>
      <c r="U87">
        <v>6.5</v>
      </c>
      <c r="V87">
        <v>5.5</v>
      </c>
      <c r="W87">
        <v>3.66</v>
      </c>
      <c r="X87">
        <v>1</v>
      </c>
      <c r="Y87">
        <v>9.25</v>
      </c>
      <c r="Z87">
        <v>13.75</v>
      </c>
      <c r="AA87">
        <v>10</v>
      </c>
      <c r="AB87">
        <v>0.73599999999999999</v>
      </c>
      <c r="AC87">
        <v>2.29</v>
      </c>
      <c r="AE87">
        <v>1</v>
      </c>
      <c r="AF87" t="s">
        <v>552</v>
      </c>
      <c r="AG87">
        <v>60</v>
      </c>
      <c r="AK87" t="s">
        <v>102</v>
      </c>
      <c r="AM87" t="s">
        <v>102</v>
      </c>
      <c r="AN87" t="s">
        <v>102</v>
      </c>
      <c r="AO87" t="s">
        <v>100</v>
      </c>
      <c r="AP87" t="s">
        <v>117</v>
      </c>
      <c r="AQ87" t="s">
        <v>104</v>
      </c>
      <c r="AV87" t="s">
        <v>102</v>
      </c>
      <c r="AX87" t="s">
        <v>553</v>
      </c>
      <c r="BF87" t="s">
        <v>554</v>
      </c>
      <c r="BG87" t="s">
        <v>102</v>
      </c>
      <c r="BH87" t="s">
        <v>102</v>
      </c>
      <c r="BI87" t="s">
        <v>102</v>
      </c>
      <c r="BK87" t="s">
        <v>191</v>
      </c>
      <c r="BR87">
        <v>9</v>
      </c>
      <c r="BT87">
        <v>5.13</v>
      </c>
      <c r="CA87" t="s">
        <v>555</v>
      </c>
      <c r="CB87" t="s">
        <v>553</v>
      </c>
      <c r="CL87" t="s">
        <v>102</v>
      </c>
      <c r="CM87" t="s">
        <v>102</v>
      </c>
      <c r="CN87" t="s">
        <v>272</v>
      </c>
      <c r="CO87" s="1">
        <v>42095</v>
      </c>
      <c r="CP87" s="1">
        <v>43634</v>
      </c>
    </row>
    <row r="88" spans="1:94" x14ac:dyDescent="0.25">
      <c r="A88" t="s">
        <v>556</v>
      </c>
      <c r="B88" t="str">
        <f xml:space="preserve"> "" &amp; 840254044517</f>
        <v>840254044517</v>
      </c>
      <c r="C88" t="s">
        <v>206</v>
      </c>
      <c r="D88" t="s">
        <v>557</v>
      </c>
      <c r="E88" t="s">
        <v>551</v>
      </c>
      <c r="F88" t="s">
        <v>186</v>
      </c>
      <c r="G88">
        <v>1</v>
      </c>
      <c r="H88">
        <v>1</v>
      </c>
      <c r="I88" t="s">
        <v>99</v>
      </c>
      <c r="J88" s="4">
        <v>125</v>
      </c>
      <c r="K88" s="4">
        <v>375</v>
      </c>
      <c r="S88">
        <v>6</v>
      </c>
      <c r="T88">
        <v>16.5</v>
      </c>
      <c r="V88">
        <v>5.5</v>
      </c>
      <c r="W88">
        <v>5.67</v>
      </c>
      <c r="X88">
        <v>1</v>
      </c>
      <c r="Y88">
        <v>9.25</v>
      </c>
      <c r="Z88">
        <v>21</v>
      </c>
      <c r="AA88">
        <v>10</v>
      </c>
      <c r="AB88">
        <v>1.1240000000000001</v>
      </c>
      <c r="AC88">
        <v>7.34</v>
      </c>
      <c r="AE88">
        <v>2</v>
      </c>
      <c r="AF88" t="s">
        <v>552</v>
      </c>
      <c r="AG88">
        <v>60</v>
      </c>
      <c r="AK88" t="s">
        <v>102</v>
      </c>
      <c r="AM88" t="s">
        <v>102</v>
      </c>
      <c r="AN88" t="s">
        <v>102</v>
      </c>
      <c r="AO88" t="s">
        <v>100</v>
      </c>
      <c r="AP88" t="s">
        <v>117</v>
      </c>
      <c r="AQ88" t="s">
        <v>104</v>
      </c>
      <c r="AV88" t="s">
        <v>102</v>
      </c>
      <c r="AX88" t="s">
        <v>553</v>
      </c>
      <c r="BF88" t="s">
        <v>558</v>
      </c>
      <c r="BG88" t="s">
        <v>102</v>
      </c>
      <c r="BH88" t="s">
        <v>102</v>
      </c>
      <c r="BI88" t="s">
        <v>102</v>
      </c>
      <c r="BK88" t="s">
        <v>191</v>
      </c>
      <c r="BR88">
        <v>5.13</v>
      </c>
      <c r="BT88">
        <v>14.25</v>
      </c>
      <c r="CA88" t="s">
        <v>559</v>
      </c>
      <c r="CB88" t="s">
        <v>553</v>
      </c>
      <c r="CL88" t="s">
        <v>102</v>
      </c>
      <c r="CM88" t="s">
        <v>102</v>
      </c>
      <c r="CN88" t="s">
        <v>272</v>
      </c>
      <c r="CO88" s="1">
        <v>42095</v>
      </c>
      <c r="CP88" s="1">
        <v>43634</v>
      </c>
    </row>
    <row r="89" spans="1:94" x14ac:dyDescent="0.25">
      <c r="A89" t="s">
        <v>560</v>
      </c>
      <c r="B89" t="str">
        <f xml:space="preserve"> "" &amp; 840254044524</f>
        <v>840254044524</v>
      </c>
      <c r="C89" t="s">
        <v>211</v>
      </c>
      <c r="D89" t="s">
        <v>561</v>
      </c>
      <c r="E89" t="s">
        <v>551</v>
      </c>
      <c r="F89" t="s">
        <v>186</v>
      </c>
      <c r="G89">
        <v>1</v>
      </c>
      <c r="H89">
        <v>1</v>
      </c>
      <c r="I89" t="s">
        <v>99</v>
      </c>
      <c r="J89" s="4">
        <v>165</v>
      </c>
      <c r="K89" s="4">
        <v>495</v>
      </c>
      <c r="S89">
        <v>6</v>
      </c>
      <c r="U89">
        <v>24.5</v>
      </c>
      <c r="V89">
        <v>5.5</v>
      </c>
      <c r="W89">
        <v>8.14</v>
      </c>
      <c r="X89">
        <v>1</v>
      </c>
      <c r="Y89">
        <v>9</v>
      </c>
      <c r="Z89">
        <v>28.5</v>
      </c>
      <c r="AA89">
        <v>9.5</v>
      </c>
      <c r="AB89">
        <v>1.41</v>
      </c>
      <c r="AC89">
        <v>10.41</v>
      </c>
      <c r="AE89">
        <v>3</v>
      </c>
      <c r="AF89" t="s">
        <v>552</v>
      </c>
      <c r="AG89">
        <v>60</v>
      </c>
      <c r="AK89" t="s">
        <v>102</v>
      </c>
      <c r="AM89" t="s">
        <v>102</v>
      </c>
      <c r="AN89" t="s">
        <v>100</v>
      </c>
      <c r="AO89" t="s">
        <v>102</v>
      </c>
      <c r="AP89" t="s">
        <v>117</v>
      </c>
      <c r="AQ89" t="s">
        <v>104</v>
      </c>
      <c r="AV89" t="s">
        <v>102</v>
      </c>
      <c r="AX89" t="s">
        <v>553</v>
      </c>
      <c r="BF89" t="s">
        <v>562</v>
      </c>
      <c r="BG89" t="s">
        <v>102</v>
      </c>
      <c r="BH89" t="s">
        <v>102</v>
      </c>
      <c r="BI89" t="s">
        <v>102</v>
      </c>
      <c r="BK89" t="s">
        <v>191</v>
      </c>
      <c r="BR89">
        <v>5.13</v>
      </c>
      <c r="BT89">
        <v>22</v>
      </c>
      <c r="CA89" t="s">
        <v>563</v>
      </c>
      <c r="CB89" t="s">
        <v>553</v>
      </c>
      <c r="CL89" t="s">
        <v>102</v>
      </c>
      <c r="CM89" t="s">
        <v>102</v>
      </c>
      <c r="CN89" t="s">
        <v>272</v>
      </c>
      <c r="CO89" s="1">
        <v>42095</v>
      </c>
      <c r="CP89" s="1">
        <v>43634</v>
      </c>
    </row>
    <row r="90" spans="1:94" x14ac:dyDescent="0.25">
      <c r="A90" t="s">
        <v>564</v>
      </c>
      <c r="B90" t="str">
        <f xml:space="preserve"> "" &amp; 840254044531</f>
        <v>840254044531</v>
      </c>
      <c r="C90" t="s">
        <v>217</v>
      </c>
      <c r="D90" t="s">
        <v>565</v>
      </c>
      <c r="E90" t="s">
        <v>551</v>
      </c>
      <c r="F90" t="s">
        <v>186</v>
      </c>
      <c r="G90">
        <v>1</v>
      </c>
      <c r="H90">
        <v>1</v>
      </c>
      <c r="I90" t="s">
        <v>99</v>
      </c>
      <c r="J90" s="4">
        <v>195</v>
      </c>
      <c r="K90" s="4">
        <v>585</v>
      </c>
      <c r="S90">
        <v>6</v>
      </c>
      <c r="U90">
        <v>32.5</v>
      </c>
      <c r="V90">
        <v>5.5</v>
      </c>
      <c r="W90">
        <v>10.76</v>
      </c>
      <c r="X90">
        <v>1</v>
      </c>
      <c r="Y90">
        <v>9.25</v>
      </c>
      <c r="Z90">
        <v>36.5</v>
      </c>
      <c r="AA90">
        <v>10</v>
      </c>
      <c r="AB90">
        <v>1.954</v>
      </c>
      <c r="AC90">
        <v>13.85</v>
      </c>
      <c r="AE90">
        <v>4</v>
      </c>
      <c r="AF90" t="s">
        <v>552</v>
      </c>
      <c r="AG90">
        <v>60</v>
      </c>
      <c r="AK90" t="s">
        <v>102</v>
      </c>
      <c r="AM90" t="s">
        <v>102</v>
      </c>
      <c r="AN90" t="s">
        <v>102</v>
      </c>
      <c r="AO90" t="s">
        <v>100</v>
      </c>
      <c r="AP90" t="s">
        <v>117</v>
      </c>
      <c r="AQ90" t="s">
        <v>104</v>
      </c>
      <c r="AV90" t="s">
        <v>102</v>
      </c>
      <c r="AX90" t="s">
        <v>553</v>
      </c>
      <c r="BF90" t="s">
        <v>566</v>
      </c>
      <c r="BG90" t="s">
        <v>102</v>
      </c>
      <c r="BH90" t="s">
        <v>102</v>
      </c>
      <c r="BI90" t="s">
        <v>102</v>
      </c>
      <c r="BK90" t="s">
        <v>191</v>
      </c>
      <c r="BR90">
        <v>5.13</v>
      </c>
      <c r="BT90">
        <v>30</v>
      </c>
      <c r="CA90" t="s">
        <v>567</v>
      </c>
      <c r="CB90" t="s">
        <v>553</v>
      </c>
      <c r="CL90" t="s">
        <v>102</v>
      </c>
      <c r="CM90" t="s">
        <v>102</v>
      </c>
      <c r="CN90" t="s">
        <v>272</v>
      </c>
      <c r="CO90" s="1">
        <v>42095</v>
      </c>
      <c r="CP90" s="1">
        <v>43634</v>
      </c>
    </row>
    <row r="91" spans="1:94" x14ac:dyDescent="0.25">
      <c r="A91" t="s">
        <v>568</v>
      </c>
      <c r="B91" t="str">
        <f xml:space="preserve"> "" &amp; 840254038271</f>
        <v>840254038271</v>
      </c>
      <c r="C91" t="s">
        <v>178</v>
      </c>
      <c r="D91" t="s">
        <v>569</v>
      </c>
      <c r="E91" t="s">
        <v>570</v>
      </c>
      <c r="F91" t="s">
        <v>179</v>
      </c>
      <c r="G91">
        <v>1</v>
      </c>
      <c r="H91">
        <v>1</v>
      </c>
      <c r="I91" t="s">
        <v>99</v>
      </c>
      <c r="J91" s="4">
        <v>195</v>
      </c>
      <c r="K91" s="4">
        <v>585</v>
      </c>
      <c r="O91" t="s">
        <v>100</v>
      </c>
      <c r="P91" s="4">
        <v>409.95</v>
      </c>
      <c r="S91">
        <v>11</v>
      </c>
      <c r="U91">
        <v>7</v>
      </c>
      <c r="V91">
        <v>4</v>
      </c>
      <c r="W91">
        <v>3.7</v>
      </c>
      <c r="X91">
        <v>1</v>
      </c>
      <c r="Y91">
        <v>7.5</v>
      </c>
      <c r="Z91">
        <v>14</v>
      </c>
      <c r="AA91">
        <v>10</v>
      </c>
      <c r="AB91">
        <v>0.60799999999999998</v>
      </c>
      <c r="AC91">
        <v>4.6100000000000003</v>
      </c>
      <c r="AE91">
        <v>2</v>
      </c>
      <c r="AF91" t="s">
        <v>167</v>
      </c>
      <c r="AG91">
        <v>40</v>
      </c>
      <c r="AK91" t="s">
        <v>102</v>
      </c>
      <c r="AM91" t="s">
        <v>102</v>
      </c>
      <c r="AN91" t="s">
        <v>100</v>
      </c>
      <c r="AO91" t="s">
        <v>102</v>
      </c>
      <c r="AP91" t="s">
        <v>117</v>
      </c>
      <c r="AQ91" t="s">
        <v>104</v>
      </c>
      <c r="AV91" t="s">
        <v>102</v>
      </c>
      <c r="AX91" t="s">
        <v>168</v>
      </c>
      <c r="AZ91" t="s">
        <v>454</v>
      </c>
      <c r="BF91" t="s">
        <v>571</v>
      </c>
      <c r="BG91" t="s">
        <v>102</v>
      </c>
      <c r="BH91" t="s">
        <v>100</v>
      </c>
      <c r="BI91" t="s">
        <v>102</v>
      </c>
      <c r="BK91" t="s">
        <v>191</v>
      </c>
      <c r="BL91" t="s">
        <v>547</v>
      </c>
      <c r="BM91">
        <v>7</v>
      </c>
      <c r="BN91">
        <v>11</v>
      </c>
      <c r="CA91" t="s">
        <v>572</v>
      </c>
      <c r="CB91" t="s">
        <v>168</v>
      </c>
      <c r="CL91" t="s">
        <v>100</v>
      </c>
      <c r="CM91" t="s">
        <v>102</v>
      </c>
      <c r="CN91" t="s">
        <v>272</v>
      </c>
      <c r="CO91" s="1">
        <v>40507</v>
      </c>
      <c r="CP91" s="1">
        <v>43634</v>
      </c>
    </row>
    <row r="92" spans="1:94" x14ac:dyDescent="0.25">
      <c r="A92" t="s">
        <v>573</v>
      </c>
      <c r="B92" t="str">
        <f xml:space="preserve"> "" &amp; 840254038325</f>
        <v>840254038325</v>
      </c>
      <c r="C92" t="s">
        <v>183</v>
      </c>
      <c r="D92" t="s">
        <v>574</v>
      </c>
      <c r="E92" t="s">
        <v>570</v>
      </c>
      <c r="F92" t="s">
        <v>186</v>
      </c>
      <c r="G92">
        <v>1</v>
      </c>
      <c r="H92">
        <v>1</v>
      </c>
      <c r="I92" t="s">
        <v>99</v>
      </c>
      <c r="J92" s="4">
        <v>200</v>
      </c>
      <c r="K92" s="4">
        <v>600</v>
      </c>
      <c r="O92" t="s">
        <v>100</v>
      </c>
      <c r="P92" s="4">
        <v>419.95</v>
      </c>
      <c r="S92">
        <v>6</v>
      </c>
      <c r="U92">
        <v>26</v>
      </c>
      <c r="V92">
        <v>4</v>
      </c>
      <c r="W92">
        <v>8.33</v>
      </c>
      <c r="X92">
        <v>1</v>
      </c>
      <c r="Y92">
        <v>10.25</v>
      </c>
      <c r="Z92">
        <v>29.5</v>
      </c>
      <c r="AA92">
        <v>7.13</v>
      </c>
      <c r="AB92">
        <v>1.248</v>
      </c>
      <c r="AC92">
        <v>10.050000000000001</v>
      </c>
      <c r="AE92">
        <v>5</v>
      </c>
      <c r="AF92" t="s">
        <v>575</v>
      </c>
      <c r="AG92">
        <v>60</v>
      </c>
      <c r="AK92" t="s">
        <v>102</v>
      </c>
      <c r="AM92" t="s">
        <v>102</v>
      </c>
      <c r="AN92" t="s">
        <v>100</v>
      </c>
      <c r="AO92" t="s">
        <v>102</v>
      </c>
      <c r="AP92" t="s">
        <v>117</v>
      </c>
      <c r="AQ92" t="s">
        <v>104</v>
      </c>
      <c r="AV92" t="s">
        <v>102</v>
      </c>
      <c r="AX92" t="s">
        <v>168</v>
      </c>
      <c r="AZ92" t="s">
        <v>454</v>
      </c>
      <c r="BF92" t="s">
        <v>576</v>
      </c>
      <c r="BG92" t="s">
        <v>102</v>
      </c>
      <c r="BH92" t="s">
        <v>100</v>
      </c>
      <c r="BI92" t="s">
        <v>102</v>
      </c>
      <c r="BK92" t="s">
        <v>191</v>
      </c>
      <c r="BL92" t="s">
        <v>244</v>
      </c>
      <c r="BM92">
        <v>25.38</v>
      </c>
      <c r="BN92">
        <v>6</v>
      </c>
      <c r="CA92" t="s">
        <v>577</v>
      </c>
      <c r="CB92" t="s">
        <v>168</v>
      </c>
      <c r="CL92" t="s">
        <v>100</v>
      </c>
      <c r="CM92" t="s">
        <v>102</v>
      </c>
      <c r="CN92" t="s">
        <v>272</v>
      </c>
      <c r="CO92" s="1">
        <v>40507</v>
      </c>
      <c r="CP92" s="1">
        <v>43634</v>
      </c>
    </row>
    <row r="93" spans="1:94" x14ac:dyDescent="0.25">
      <c r="A93" t="s">
        <v>578</v>
      </c>
      <c r="B93" t="str">
        <f xml:space="preserve"> "" &amp; 840254038332</f>
        <v>840254038332</v>
      </c>
      <c r="C93" t="s">
        <v>285</v>
      </c>
      <c r="D93" t="s">
        <v>579</v>
      </c>
      <c r="E93" t="s">
        <v>570</v>
      </c>
      <c r="F93" t="s">
        <v>186</v>
      </c>
      <c r="G93">
        <v>1</v>
      </c>
      <c r="H93">
        <v>1</v>
      </c>
      <c r="I93" t="s">
        <v>99</v>
      </c>
      <c r="J93" s="4">
        <v>250</v>
      </c>
      <c r="K93" s="4">
        <v>750</v>
      </c>
      <c r="O93" t="s">
        <v>100</v>
      </c>
      <c r="P93" s="4">
        <v>524.95000000000005</v>
      </c>
      <c r="S93">
        <v>6</v>
      </c>
      <c r="U93">
        <v>34</v>
      </c>
      <c r="V93">
        <v>4</v>
      </c>
      <c r="W93">
        <v>10.47</v>
      </c>
      <c r="X93">
        <v>1</v>
      </c>
      <c r="Y93">
        <v>10.25</v>
      </c>
      <c r="Z93">
        <v>37.75</v>
      </c>
      <c r="AA93">
        <v>7.13</v>
      </c>
      <c r="AB93">
        <v>1.597</v>
      </c>
      <c r="AC93">
        <v>13.01</v>
      </c>
      <c r="AE93">
        <v>6</v>
      </c>
      <c r="AF93" t="s">
        <v>575</v>
      </c>
      <c r="AG93">
        <v>60</v>
      </c>
      <c r="AK93" t="s">
        <v>102</v>
      </c>
      <c r="AM93" t="s">
        <v>102</v>
      </c>
      <c r="AN93" t="s">
        <v>102</v>
      </c>
      <c r="AO93" t="s">
        <v>100</v>
      </c>
      <c r="AP93" t="s">
        <v>117</v>
      </c>
      <c r="AQ93" t="s">
        <v>104</v>
      </c>
      <c r="AV93" t="s">
        <v>102</v>
      </c>
      <c r="AX93" t="s">
        <v>168</v>
      </c>
      <c r="AZ93" t="s">
        <v>454</v>
      </c>
      <c r="BF93" t="s">
        <v>580</v>
      </c>
      <c r="BG93" t="s">
        <v>102</v>
      </c>
      <c r="BH93" t="s">
        <v>102</v>
      </c>
      <c r="BI93" t="s">
        <v>102</v>
      </c>
      <c r="BK93" t="s">
        <v>191</v>
      </c>
      <c r="BM93">
        <v>33.25</v>
      </c>
      <c r="BN93">
        <v>0.63</v>
      </c>
      <c r="CA93" t="s">
        <v>578</v>
      </c>
      <c r="CB93" t="s">
        <v>168</v>
      </c>
      <c r="CL93" t="s">
        <v>102</v>
      </c>
      <c r="CM93" t="s">
        <v>102</v>
      </c>
      <c r="CN93" t="s">
        <v>424</v>
      </c>
      <c r="CO93" s="1">
        <v>40507</v>
      </c>
      <c r="CP93" s="1">
        <v>43634</v>
      </c>
    </row>
    <row r="94" spans="1:94" x14ac:dyDescent="0.25">
      <c r="A94" t="s">
        <v>581</v>
      </c>
      <c r="B94" t="str">
        <f xml:space="preserve"> "" &amp; 840254038455</f>
        <v>840254038455</v>
      </c>
      <c r="C94" t="s">
        <v>195</v>
      </c>
      <c r="D94" t="s">
        <v>195</v>
      </c>
      <c r="F94" t="s">
        <v>186</v>
      </c>
      <c r="G94">
        <v>1</v>
      </c>
      <c r="H94">
        <v>1</v>
      </c>
      <c r="I94" t="s">
        <v>99</v>
      </c>
      <c r="J94" s="4">
        <v>114.75</v>
      </c>
      <c r="K94" s="4">
        <v>344.25</v>
      </c>
      <c r="O94" t="s">
        <v>100</v>
      </c>
      <c r="P94" s="4">
        <v>239.95</v>
      </c>
      <c r="S94">
        <v>7.25</v>
      </c>
      <c r="U94">
        <v>5</v>
      </c>
      <c r="V94">
        <v>6.5</v>
      </c>
      <c r="W94">
        <v>2.6</v>
      </c>
      <c r="X94">
        <v>1</v>
      </c>
      <c r="Y94">
        <v>7.88</v>
      </c>
      <c r="Z94">
        <v>16.13</v>
      </c>
      <c r="AA94">
        <v>9</v>
      </c>
      <c r="AB94">
        <v>0.66200000000000003</v>
      </c>
      <c r="AC94">
        <v>4.92</v>
      </c>
      <c r="AE94">
        <v>1</v>
      </c>
      <c r="AF94" t="s">
        <v>198</v>
      </c>
      <c r="AG94">
        <v>100</v>
      </c>
      <c r="AK94" t="s">
        <v>102</v>
      </c>
      <c r="AL94">
        <v>1</v>
      </c>
      <c r="AM94" t="s">
        <v>102</v>
      </c>
      <c r="AN94" t="s">
        <v>100</v>
      </c>
      <c r="AO94" t="s">
        <v>102</v>
      </c>
      <c r="AP94" t="s">
        <v>117</v>
      </c>
      <c r="AQ94" t="s">
        <v>104</v>
      </c>
      <c r="AV94" t="s">
        <v>102</v>
      </c>
      <c r="AX94" t="s">
        <v>168</v>
      </c>
      <c r="AZ94" t="s">
        <v>163</v>
      </c>
      <c r="BF94" t="s">
        <v>582</v>
      </c>
      <c r="BG94" t="s">
        <v>102</v>
      </c>
      <c r="BH94" t="s">
        <v>102</v>
      </c>
      <c r="BI94" t="s">
        <v>102</v>
      </c>
      <c r="BK94" t="s">
        <v>191</v>
      </c>
      <c r="BL94" t="s">
        <v>336</v>
      </c>
      <c r="CA94" t="s">
        <v>583</v>
      </c>
      <c r="CB94" t="s">
        <v>168</v>
      </c>
      <c r="CL94" t="s">
        <v>102</v>
      </c>
      <c r="CM94" t="s">
        <v>102</v>
      </c>
      <c r="CN94" t="s">
        <v>181</v>
      </c>
      <c r="CO94" s="1">
        <v>40471</v>
      </c>
      <c r="CP94" s="1">
        <v>43595</v>
      </c>
    </row>
    <row r="95" spans="1:94" x14ac:dyDescent="0.25">
      <c r="A95" t="s">
        <v>584</v>
      </c>
      <c r="B95" t="str">
        <f xml:space="preserve"> "" &amp; 840254040175</f>
        <v>840254040175</v>
      </c>
      <c r="C95" t="s">
        <v>290</v>
      </c>
      <c r="D95" t="s">
        <v>585</v>
      </c>
      <c r="E95" t="s">
        <v>586</v>
      </c>
      <c r="F95" t="s">
        <v>179</v>
      </c>
      <c r="G95">
        <v>1</v>
      </c>
      <c r="H95">
        <v>1</v>
      </c>
      <c r="I95" t="s">
        <v>99</v>
      </c>
      <c r="J95" s="4">
        <v>125</v>
      </c>
      <c r="K95" s="4">
        <v>375</v>
      </c>
      <c r="O95" t="s">
        <v>100</v>
      </c>
      <c r="P95" s="4">
        <v>264.95</v>
      </c>
      <c r="S95">
        <v>13</v>
      </c>
      <c r="U95">
        <v>5</v>
      </c>
      <c r="V95">
        <v>6.75</v>
      </c>
      <c r="W95">
        <v>2.0499999999999998</v>
      </c>
      <c r="X95">
        <v>1</v>
      </c>
      <c r="Y95">
        <v>15</v>
      </c>
      <c r="Z95">
        <v>7.5</v>
      </c>
      <c r="AA95">
        <v>7.5</v>
      </c>
      <c r="AB95">
        <v>0.48799999999999999</v>
      </c>
      <c r="AC95">
        <v>2.87</v>
      </c>
      <c r="AE95">
        <v>1</v>
      </c>
      <c r="AF95" t="s">
        <v>167</v>
      </c>
      <c r="AG95">
        <v>60</v>
      </c>
      <c r="AK95" t="s">
        <v>102</v>
      </c>
      <c r="AL95">
        <v>1</v>
      </c>
      <c r="AM95" t="s">
        <v>102</v>
      </c>
      <c r="AN95" t="s">
        <v>100</v>
      </c>
      <c r="AO95" t="s">
        <v>102</v>
      </c>
      <c r="AP95" t="s">
        <v>117</v>
      </c>
      <c r="AQ95" t="s">
        <v>104</v>
      </c>
      <c r="AV95" t="s">
        <v>102</v>
      </c>
      <c r="AX95" t="s">
        <v>168</v>
      </c>
      <c r="AZ95" t="s">
        <v>454</v>
      </c>
      <c r="BB95" t="s">
        <v>442</v>
      </c>
      <c r="BC95" t="s">
        <v>443</v>
      </c>
      <c r="BD95" t="s">
        <v>482</v>
      </c>
      <c r="BF95" t="s">
        <v>587</v>
      </c>
      <c r="BG95" t="s">
        <v>102</v>
      </c>
      <c r="BH95" t="s">
        <v>102</v>
      </c>
      <c r="BI95" t="s">
        <v>102</v>
      </c>
      <c r="BK95" t="s">
        <v>191</v>
      </c>
      <c r="BL95" t="s">
        <v>180</v>
      </c>
      <c r="BM95">
        <v>4.75</v>
      </c>
      <c r="BN95">
        <v>6</v>
      </c>
      <c r="CA95" t="s">
        <v>588</v>
      </c>
      <c r="CB95" t="s">
        <v>168</v>
      </c>
      <c r="CL95" t="s">
        <v>100</v>
      </c>
      <c r="CM95" t="s">
        <v>102</v>
      </c>
      <c r="CN95" t="s">
        <v>589</v>
      </c>
      <c r="CO95" s="1">
        <v>40793</v>
      </c>
      <c r="CP95" s="1">
        <v>43634</v>
      </c>
    </row>
    <row r="96" spans="1:94" x14ac:dyDescent="0.25">
      <c r="A96" t="s">
        <v>590</v>
      </c>
      <c r="B96" t="str">
        <f xml:space="preserve"> "" &amp; 840254043152</f>
        <v>840254043152</v>
      </c>
      <c r="C96" t="s">
        <v>230</v>
      </c>
      <c r="D96" t="s">
        <v>591</v>
      </c>
      <c r="E96" t="s">
        <v>592</v>
      </c>
      <c r="F96" t="s">
        <v>179</v>
      </c>
      <c r="G96">
        <v>1</v>
      </c>
      <c r="H96">
        <v>1</v>
      </c>
      <c r="I96" t="s">
        <v>99</v>
      </c>
      <c r="J96" s="4">
        <v>245</v>
      </c>
      <c r="K96" s="4">
        <v>735</v>
      </c>
      <c r="O96" t="s">
        <v>100</v>
      </c>
      <c r="P96" s="4">
        <v>514.95000000000005</v>
      </c>
      <c r="S96">
        <v>24</v>
      </c>
      <c r="U96">
        <v>13.5</v>
      </c>
      <c r="V96">
        <v>9</v>
      </c>
      <c r="W96">
        <v>6.28</v>
      </c>
      <c r="X96">
        <v>1</v>
      </c>
      <c r="Y96">
        <v>18</v>
      </c>
      <c r="Z96">
        <v>15.25</v>
      </c>
      <c r="AA96">
        <v>11.75</v>
      </c>
      <c r="AB96">
        <v>1.867</v>
      </c>
      <c r="AC96">
        <v>8.64</v>
      </c>
      <c r="AE96">
        <v>3</v>
      </c>
      <c r="AF96" t="s">
        <v>466</v>
      </c>
      <c r="AG96">
        <v>75</v>
      </c>
      <c r="AK96" t="s">
        <v>100</v>
      </c>
      <c r="AM96" t="s">
        <v>102</v>
      </c>
      <c r="AN96" t="s">
        <v>102</v>
      </c>
      <c r="AO96" t="s">
        <v>100</v>
      </c>
      <c r="AP96" t="s">
        <v>117</v>
      </c>
      <c r="AQ96" t="s">
        <v>104</v>
      </c>
      <c r="AV96" t="s">
        <v>102</v>
      </c>
      <c r="AX96" t="s">
        <v>593</v>
      </c>
      <c r="AZ96" t="s">
        <v>105</v>
      </c>
      <c r="BF96" t="s">
        <v>594</v>
      </c>
      <c r="BG96" t="s">
        <v>102</v>
      </c>
      <c r="BH96" t="s">
        <v>102</v>
      </c>
      <c r="BI96" t="s">
        <v>102</v>
      </c>
      <c r="BK96" t="s">
        <v>107</v>
      </c>
      <c r="BR96">
        <v>8</v>
      </c>
      <c r="BT96">
        <v>4.25</v>
      </c>
      <c r="CA96" t="s">
        <v>595</v>
      </c>
      <c r="CB96" t="s">
        <v>593</v>
      </c>
      <c r="CL96" t="s">
        <v>102</v>
      </c>
      <c r="CM96" t="s">
        <v>102</v>
      </c>
      <c r="CN96" t="s">
        <v>424</v>
      </c>
      <c r="CO96" s="1">
        <v>41703</v>
      </c>
      <c r="CP96" s="1">
        <v>43634</v>
      </c>
    </row>
    <row r="97" spans="1:94" x14ac:dyDescent="0.25">
      <c r="A97" t="s">
        <v>596</v>
      </c>
      <c r="B97" t="str">
        <f xml:space="preserve"> "" &amp; 840254045941</f>
        <v>840254045941</v>
      </c>
      <c r="C97" t="s">
        <v>597</v>
      </c>
      <c r="D97" t="s">
        <v>598</v>
      </c>
      <c r="E97" t="s">
        <v>599</v>
      </c>
      <c r="F97" t="s">
        <v>179</v>
      </c>
      <c r="G97">
        <v>1</v>
      </c>
      <c r="H97">
        <v>1</v>
      </c>
      <c r="I97" t="s">
        <v>99</v>
      </c>
      <c r="J97" s="4">
        <v>150</v>
      </c>
      <c r="K97" s="4">
        <v>450</v>
      </c>
      <c r="O97" t="s">
        <v>100</v>
      </c>
      <c r="P97" s="4">
        <v>314.95</v>
      </c>
      <c r="S97">
        <v>9.5</v>
      </c>
      <c r="U97">
        <v>6</v>
      </c>
      <c r="V97">
        <v>4</v>
      </c>
      <c r="W97">
        <v>3.15</v>
      </c>
      <c r="X97">
        <v>1</v>
      </c>
      <c r="Y97">
        <v>11.5</v>
      </c>
      <c r="Z97">
        <v>9</v>
      </c>
      <c r="AA97">
        <v>8.5</v>
      </c>
      <c r="AB97">
        <v>0.50900000000000001</v>
      </c>
      <c r="AC97">
        <v>3.95</v>
      </c>
      <c r="AE97">
        <v>1</v>
      </c>
      <c r="AF97" t="s">
        <v>198</v>
      </c>
      <c r="AG97">
        <v>100</v>
      </c>
      <c r="AK97" t="s">
        <v>102</v>
      </c>
      <c r="AM97" t="s">
        <v>102</v>
      </c>
      <c r="AN97" t="s">
        <v>100</v>
      </c>
      <c r="AO97" t="s">
        <v>102</v>
      </c>
      <c r="AP97" t="s">
        <v>117</v>
      </c>
      <c r="AQ97" t="s">
        <v>104</v>
      </c>
      <c r="AV97" t="s">
        <v>102</v>
      </c>
      <c r="AX97" t="s">
        <v>266</v>
      </c>
      <c r="AZ97" t="s">
        <v>189</v>
      </c>
      <c r="BB97" t="s">
        <v>118</v>
      </c>
      <c r="BC97" t="s">
        <v>600</v>
      </c>
      <c r="BF97" t="s">
        <v>601</v>
      </c>
      <c r="BG97" t="s">
        <v>102</v>
      </c>
      <c r="BH97" t="s">
        <v>100</v>
      </c>
      <c r="BI97" t="s">
        <v>102</v>
      </c>
      <c r="BK97" t="s">
        <v>191</v>
      </c>
      <c r="BL97" t="s">
        <v>547</v>
      </c>
      <c r="BR97">
        <v>7.88</v>
      </c>
      <c r="BT97">
        <v>5.5</v>
      </c>
      <c r="CA97" t="s">
        <v>602</v>
      </c>
      <c r="CB97" t="s">
        <v>266</v>
      </c>
      <c r="CL97" t="s">
        <v>100</v>
      </c>
      <c r="CM97" t="s">
        <v>102</v>
      </c>
      <c r="CN97" t="s">
        <v>229</v>
      </c>
      <c r="CO97" s="1">
        <v>39402</v>
      </c>
      <c r="CP97" s="1">
        <v>43634</v>
      </c>
    </row>
    <row r="98" spans="1:94" x14ac:dyDescent="0.25">
      <c r="A98" t="s">
        <v>608</v>
      </c>
      <c r="B98" t="str">
        <f xml:space="preserve"> "" &amp; 840254041851</f>
        <v>840254041851</v>
      </c>
      <c r="C98" t="s">
        <v>206</v>
      </c>
      <c r="D98" t="s">
        <v>609</v>
      </c>
      <c r="E98" t="s">
        <v>603</v>
      </c>
      <c r="F98" t="s">
        <v>186</v>
      </c>
      <c r="G98">
        <v>1</v>
      </c>
      <c r="H98">
        <v>1</v>
      </c>
      <c r="I98" t="s">
        <v>99</v>
      </c>
      <c r="J98" s="4">
        <v>150</v>
      </c>
      <c r="K98" s="4">
        <v>450</v>
      </c>
      <c r="O98" t="s">
        <v>100</v>
      </c>
      <c r="P98" s="4">
        <v>314.95</v>
      </c>
      <c r="S98">
        <v>7.75</v>
      </c>
      <c r="U98">
        <v>12.25</v>
      </c>
      <c r="V98">
        <v>6.75</v>
      </c>
      <c r="W98">
        <v>5.73</v>
      </c>
      <c r="X98">
        <v>1</v>
      </c>
      <c r="Y98">
        <v>9.75</v>
      </c>
      <c r="Z98">
        <v>15</v>
      </c>
      <c r="AA98">
        <v>15</v>
      </c>
      <c r="AB98">
        <v>1.27</v>
      </c>
      <c r="AC98">
        <v>7.36</v>
      </c>
      <c r="AE98">
        <v>2</v>
      </c>
      <c r="AF98" t="s">
        <v>604</v>
      </c>
      <c r="AG98">
        <v>100</v>
      </c>
      <c r="AK98" t="s">
        <v>102</v>
      </c>
      <c r="AM98" t="s">
        <v>102</v>
      </c>
      <c r="AN98" t="s">
        <v>100</v>
      </c>
      <c r="AO98" t="s">
        <v>102</v>
      </c>
      <c r="AP98" t="s">
        <v>117</v>
      </c>
      <c r="AQ98" t="s">
        <v>104</v>
      </c>
      <c r="AV98" t="s">
        <v>102</v>
      </c>
      <c r="AX98" t="s">
        <v>605</v>
      </c>
      <c r="AZ98" t="s">
        <v>163</v>
      </c>
      <c r="BB98" t="s">
        <v>54</v>
      </c>
      <c r="BC98" t="s">
        <v>610</v>
      </c>
      <c r="BF98" t="s">
        <v>611</v>
      </c>
      <c r="BG98" t="s">
        <v>102</v>
      </c>
      <c r="BH98" t="s">
        <v>102</v>
      </c>
      <c r="BI98" t="s">
        <v>102</v>
      </c>
      <c r="BK98" t="s">
        <v>484</v>
      </c>
      <c r="BR98">
        <v>6</v>
      </c>
      <c r="BT98">
        <v>8</v>
      </c>
      <c r="CA98" t="s">
        <v>612</v>
      </c>
      <c r="CB98" t="s">
        <v>605</v>
      </c>
      <c r="CL98" t="s">
        <v>100</v>
      </c>
      <c r="CM98" t="s">
        <v>102</v>
      </c>
      <c r="CN98" t="s">
        <v>607</v>
      </c>
      <c r="CO98" s="1">
        <v>41232</v>
      </c>
      <c r="CP98" s="1">
        <v>43634</v>
      </c>
    </row>
    <row r="99" spans="1:94" x14ac:dyDescent="0.25">
      <c r="A99" t="s">
        <v>613</v>
      </c>
      <c r="B99" t="str">
        <f xml:space="preserve"> "" &amp; 840254041868</f>
        <v>840254041868</v>
      </c>
      <c r="C99" t="s">
        <v>211</v>
      </c>
      <c r="D99" t="s">
        <v>614</v>
      </c>
      <c r="E99" t="s">
        <v>603</v>
      </c>
      <c r="F99" t="s">
        <v>186</v>
      </c>
      <c r="G99">
        <v>1</v>
      </c>
      <c r="H99">
        <v>1</v>
      </c>
      <c r="I99" t="s">
        <v>99</v>
      </c>
      <c r="J99" s="4">
        <v>190</v>
      </c>
      <c r="K99" s="4">
        <v>570</v>
      </c>
      <c r="O99" t="s">
        <v>100</v>
      </c>
      <c r="P99" s="4">
        <v>399.95</v>
      </c>
      <c r="S99">
        <v>7.75</v>
      </c>
      <c r="U99">
        <v>20</v>
      </c>
      <c r="V99">
        <v>6.75</v>
      </c>
      <c r="W99">
        <v>7.54</v>
      </c>
      <c r="X99">
        <v>1</v>
      </c>
      <c r="Y99">
        <v>8.5</v>
      </c>
      <c r="Z99">
        <v>22.5</v>
      </c>
      <c r="AA99">
        <v>14.5</v>
      </c>
      <c r="AB99">
        <v>1.605</v>
      </c>
      <c r="AC99">
        <v>9.9</v>
      </c>
      <c r="AE99">
        <v>3</v>
      </c>
      <c r="AF99" t="s">
        <v>604</v>
      </c>
      <c r="AG99">
        <v>100</v>
      </c>
      <c r="AK99" t="s">
        <v>102</v>
      </c>
      <c r="AM99" t="s">
        <v>102</v>
      </c>
      <c r="AN99" t="s">
        <v>100</v>
      </c>
      <c r="AO99" t="s">
        <v>102</v>
      </c>
      <c r="AP99" t="s">
        <v>117</v>
      </c>
      <c r="AQ99" t="s">
        <v>104</v>
      </c>
      <c r="AV99" t="s">
        <v>102</v>
      </c>
      <c r="AX99" t="s">
        <v>605</v>
      </c>
      <c r="AZ99" t="s">
        <v>163</v>
      </c>
      <c r="BB99" t="s">
        <v>54</v>
      </c>
      <c r="BC99" t="s">
        <v>606</v>
      </c>
      <c r="BF99" t="s">
        <v>615</v>
      </c>
      <c r="BG99" t="s">
        <v>102</v>
      </c>
      <c r="BH99" t="s">
        <v>102</v>
      </c>
      <c r="BI99" t="s">
        <v>102</v>
      </c>
      <c r="BK99" t="s">
        <v>484</v>
      </c>
      <c r="BR99">
        <v>6</v>
      </c>
      <c r="BT99">
        <v>8</v>
      </c>
      <c r="CA99" t="s">
        <v>616</v>
      </c>
      <c r="CB99" t="s">
        <v>605</v>
      </c>
      <c r="CL99" t="s">
        <v>100</v>
      </c>
      <c r="CM99" t="s">
        <v>102</v>
      </c>
      <c r="CN99" t="s">
        <v>607</v>
      </c>
      <c r="CO99" s="1">
        <v>41232</v>
      </c>
      <c r="CP99" s="1">
        <v>43634</v>
      </c>
    </row>
    <row r="100" spans="1:94" x14ac:dyDescent="0.25">
      <c r="A100" t="s">
        <v>617</v>
      </c>
      <c r="B100" t="str">
        <f xml:space="preserve"> "" &amp; 840254045798</f>
        <v>840254045798</v>
      </c>
      <c r="C100" t="s">
        <v>618</v>
      </c>
      <c r="D100" t="s">
        <v>619</v>
      </c>
      <c r="E100" t="s">
        <v>620</v>
      </c>
      <c r="F100" t="s">
        <v>186</v>
      </c>
      <c r="G100">
        <v>1</v>
      </c>
      <c r="H100">
        <v>1</v>
      </c>
      <c r="I100" t="s">
        <v>99</v>
      </c>
      <c r="J100" s="4">
        <v>175</v>
      </c>
      <c r="K100" s="4">
        <v>525</v>
      </c>
      <c r="O100" t="s">
        <v>100</v>
      </c>
      <c r="P100" s="4">
        <v>369.95</v>
      </c>
      <c r="S100">
        <v>5.25</v>
      </c>
      <c r="U100">
        <v>25</v>
      </c>
      <c r="V100">
        <v>4</v>
      </c>
      <c r="W100">
        <v>8.33</v>
      </c>
      <c r="X100">
        <v>1</v>
      </c>
      <c r="Y100">
        <v>10</v>
      </c>
      <c r="Z100">
        <v>28</v>
      </c>
      <c r="AA100">
        <v>7.75</v>
      </c>
      <c r="AB100">
        <v>1.256</v>
      </c>
      <c r="AC100">
        <v>10.210000000000001</v>
      </c>
      <c r="AE100">
        <v>5</v>
      </c>
      <c r="AF100" t="s">
        <v>167</v>
      </c>
      <c r="AG100">
        <v>60</v>
      </c>
      <c r="AK100" t="s">
        <v>102</v>
      </c>
      <c r="AM100" t="s">
        <v>102</v>
      </c>
      <c r="AN100" t="s">
        <v>100</v>
      </c>
      <c r="AO100" t="s">
        <v>102</v>
      </c>
      <c r="AP100" t="s">
        <v>117</v>
      </c>
      <c r="AQ100" t="s">
        <v>104</v>
      </c>
      <c r="AV100" t="s">
        <v>102</v>
      </c>
      <c r="AX100" t="s">
        <v>621</v>
      </c>
      <c r="AZ100" t="s">
        <v>622</v>
      </c>
      <c r="BB100" t="s">
        <v>118</v>
      </c>
      <c r="BC100" t="s">
        <v>129</v>
      </c>
      <c r="BF100" t="s">
        <v>623</v>
      </c>
      <c r="BG100" t="s">
        <v>102</v>
      </c>
      <c r="BH100" t="s">
        <v>100</v>
      </c>
      <c r="BI100" t="s">
        <v>102</v>
      </c>
      <c r="BK100" t="s">
        <v>191</v>
      </c>
      <c r="BL100" t="s">
        <v>624</v>
      </c>
      <c r="BR100">
        <v>4.25</v>
      </c>
      <c r="BT100">
        <v>24</v>
      </c>
      <c r="CA100" t="s">
        <v>625</v>
      </c>
      <c r="CB100" t="s">
        <v>621</v>
      </c>
      <c r="CL100" t="s">
        <v>100</v>
      </c>
      <c r="CM100" t="s">
        <v>102</v>
      </c>
      <c r="CN100" t="s">
        <v>229</v>
      </c>
      <c r="CO100" s="1">
        <v>40184</v>
      </c>
      <c r="CP100" s="1">
        <v>43634</v>
      </c>
    </row>
    <row r="101" spans="1:94" x14ac:dyDescent="0.25">
      <c r="A101" t="s">
        <v>626</v>
      </c>
      <c r="B101" t="str">
        <f xml:space="preserve"> "" &amp; 840254045804</f>
        <v>840254045804</v>
      </c>
      <c r="C101" t="s">
        <v>627</v>
      </c>
      <c r="D101" t="s">
        <v>628</v>
      </c>
      <c r="E101" t="s">
        <v>620</v>
      </c>
      <c r="F101" t="s">
        <v>186</v>
      </c>
      <c r="G101">
        <v>1</v>
      </c>
      <c r="H101">
        <v>1</v>
      </c>
      <c r="I101" t="s">
        <v>99</v>
      </c>
      <c r="J101" s="4">
        <v>200</v>
      </c>
      <c r="K101" s="4">
        <v>600</v>
      </c>
      <c r="O101" t="s">
        <v>100</v>
      </c>
      <c r="P101" s="4">
        <v>419.95</v>
      </c>
      <c r="S101">
        <v>5.25</v>
      </c>
      <c r="U101">
        <v>37</v>
      </c>
      <c r="V101">
        <v>4</v>
      </c>
      <c r="W101">
        <v>11.82</v>
      </c>
      <c r="X101">
        <v>1</v>
      </c>
      <c r="Y101">
        <v>10</v>
      </c>
      <c r="Z101">
        <v>40</v>
      </c>
      <c r="AA101">
        <v>7.75</v>
      </c>
      <c r="AB101">
        <v>1.794</v>
      </c>
      <c r="AC101">
        <v>15.7</v>
      </c>
      <c r="AE101">
        <v>8</v>
      </c>
      <c r="AF101" t="s">
        <v>167</v>
      </c>
      <c r="AG101">
        <v>60</v>
      </c>
      <c r="AK101" t="s">
        <v>102</v>
      </c>
      <c r="AM101" t="s">
        <v>102</v>
      </c>
      <c r="AN101" t="s">
        <v>100</v>
      </c>
      <c r="AO101" t="s">
        <v>102</v>
      </c>
      <c r="AP101" t="s">
        <v>117</v>
      </c>
      <c r="AQ101" t="s">
        <v>104</v>
      </c>
      <c r="AV101" t="s">
        <v>102</v>
      </c>
      <c r="AX101" t="s">
        <v>621</v>
      </c>
      <c r="AZ101" t="s">
        <v>622</v>
      </c>
      <c r="BB101" t="s">
        <v>118</v>
      </c>
      <c r="BC101" t="s">
        <v>129</v>
      </c>
      <c r="BF101" t="s">
        <v>629</v>
      </c>
      <c r="BG101" t="s">
        <v>102</v>
      </c>
      <c r="BH101" t="s">
        <v>100</v>
      </c>
      <c r="BI101" t="s">
        <v>102</v>
      </c>
      <c r="BK101" t="s">
        <v>191</v>
      </c>
      <c r="BL101" t="s">
        <v>624</v>
      </c>
      <c r="BR101">
        <v>4.25</v>
      </c>
      <c r="BT101">
        <v>36</v>
      </c>
      <c r="CA101" t="s">
        <v>630</v>
      </c>
      <c r="CB101" t="s">
        <v>621</v>
      </c>
      <c r="CL101" t="s">
        <v>100</v>
      </c>
      <c r="CM101" t="s">
        <v>102</v>
      </c>
      <c r="CN101" t="s">
        <v>229</v>
      </c>
      <c r="CO101" s="1">
        <v>40184</v>
      </c>
      <c r="CP101" s="1">
        <v>43634</v>
      </c>
    </row>
    <row r="102" spans="1:94" x14ac:dyDescent="0.25">
      <c r="A102" t="s">
        <v>631</v>
      </c>
      <c r="B102" t="str">
        <f xml:space="preserve"> "" &amp; 840254044289</f>
        <v>840254044289</v>
      </c>
      <c r="C102" t="s">
        <v>195</v>
      </c>
      <c r="D102" t="s">
        <v>632</v>
      </c>
      <c r="E102" t="s">
        <v>633</v>
      </c>
      <c r="F102" t="s">
        <v>186</v>
      </c>
      <c r="G102">
        <v>1</v>
      </c>
      <c r="H102">
        <v>1</v>
      </c>
      <c r="I102" t="s">
        <v>99</v>
      </c>
      <c r="J102" s="4">
        <v>115</v>
      </c>
      <c r="K102" s="4">
        <v>345</v>
      </c>
      <c r="O102" t="s">
        <v>100</v>
      </c>
      <c r="P102" s="4">
        <v>239.95</v>
      </c>
      <c r="S102">
        <v>7.5</v>
      </c>
      <c r="U102">
        <v>6</v>
      </c>
      <c r="V102">
        <v>5.25</v>
      </c>
      <c r="W102">
        <v>3.15</v>
      </c>
      <c r="X102">
        <v>1</v>
      </c>
      <c r="Y102">
        <v>10.25</v>
      </c>
      <c r="Z102">
        <v>8.8800000000000008</v>
      </c>
      <c r="AA102">
        <v>8.8800000000000008</v>
      </c>
      <c r="AB102">
        <v>0.46800000000000003</v>
      </c>
      <c r="AC102">
        <v>3.9</v>
      </c>
      <c r="AE102">
        <v>1</v>
      </c>
      <c r="AF102" t="s">
        <v>187</v>
      </c>
      <c r="AG102">
        <v>60</v>
      </c>
      <c r="AK102" t="s">
        <v>102</v>
      </c>
      <c r="AM102" t="s">
        <v>102</v>
      </c>
      <c r="AN102" t="s">
        <v>100</v>
      </c>
      <c r="AO102" t="s">
        <v>102</v>
      </c>
      <c r="AP102" t="s">
        <v>117</v>
      </c>
      <c r="AQ102" t="s">
        <v>104</v>
      </c>
      <c r="AV102" t="s">
        <v>102</v>
      </c>
      <c r="AX102" t="s">
        <v>168</v>
      </c>
      <c r="BB102" t="s">
        <v>147</v>
      </c>
      <c r="BC102" t="s">
        <v>634</v>
      </c>
      <c r="BF102" t="s">
        <v>635</v>
      </c>
      <c r="BG102" t="s">
        <v>102</v>
      </c>
      <c r="BH102" t="s">
        <v>102</v>
      </c>
      <c r="BI102" t="s">
        <v>102</v>
      </c>
      <c r="BK102" t="s">
        <v>191</v>
      </c>
      <c r="BL102" t="s">
        <v>336</v>
      </c>
      <c r="BM102">
        <v>4.38</v>
      </c>
      <c r="BN102">
        <v>5</v>
      </c>
      <c r="CA102" t="s">
        <v>636</v>
      </c>
      <c r="CB102" t="s">
        <v>168</v>
      </c>
      <c r="CL102" t="s">
        <v>100</v>
      </c>
      <c r="CM102" t="s">
        <v>102</v>
      </c>
      <c r="CN102" t="s">
        <v>272</v>
      </c>
      <c r="CO102" s="1">
        <v>41992</v>
      </c>
      <c r="CP102" s="1">
        <v>43634</v>
      </c>
    </row>
    <row r="103" spans="1:94" x14ac:dyDescent="0.25">
      <c r="A103" t="s">
        <v>637</v>
      </c>
      <c r="B103" t="str">
        <f xml:space="preserve"> "" &amp; 840254044296</f>
        <v>840254044296</v>
      </c>
      <c r="C103" t="s">
        <v>206</v>
      </c>
      <c r="D103" t="s">
        <v>638</v>
      </c>
      <c r="E103" t="s">
        <v>633</v>
      </c>
      <c r="F103" t="s">
        <v>186</v>
      </c>
      <c r="G103">
        <v>1</v>
      </c>
      <c r="H103">
        <v>1</v>
      </c>
      <c r="I103" t="s">
        <v>99</v>
      </c>
      <c r="J103" s="4">
        <v>125</v>
      </c>
      <c r="K103" s="4">
        <v>375</v>
      </c>
      <c r="O103" t="s">
        <v>100</v>
      </c>
      <c r="P103" s="4">
        <v>264.95</v>
      </c>
      <c r="S103">
        <v>7</v>
      </c>
      <c r="U103">
        <v>12</v>
      </c>
      <c r="V103">
        <v>5</v>
      </c>
      <c r="W103">
        <v>5.45</v>
      </c>
      <c r="X103">
        <v>1</v>
      </c>
      <c r="Y103">
        <v>11</v>
      </c>
      <c r="Z103">
        <v>15</v>
      </c>
      <c r="AA103">
        <v>10.5</v>
      </c>
      <c r="AB103">
        <v>1.0029999999999999</v>
      </c>
      <c r="AC103">
        <v>6.59</v>
      </c>
      <c r="AE103">
        <v>2</v>
      </c>
      <c r="AF103" t="s">
        <v>187</v>
      </c>
      <c r="AG103">
        <v>60</v>
      </c>
      <c r="AK103" t="s">
        <v>102</v>
      </c>
      <c r="AM103" t="s">
        <v>102</v>
      </c>
      <c r="AN103" t="s">
        <v>100</v>
      </c>
      <c r="AO103" t="s">
        <v>102</v>
      </c>
      <c r="AP103" t="s">
        <v>117</v>
      </c>
      <c r="AQ103" t="s">
        <v>104</v>
      </c>
      <c r="AV103" t="s">
        <v>102</v>
      </c>
      <c r="AX103" t="s">
        <v>168</v>
      </c>
      <c r="AZ103" t="s">
        <v>622</v>
      </c>
      <c r="BB103" t="s">
        <v>147</v>
      </c>
      <c r="BC103" t="s">
        <v>275</v>
      </c>
      <c r="BF103" t="s">
        <v>639</v>
      </c>
      <c r="BG103" t="s">
        <v>102</v>
      </c>
      <c r="BH103" t="s">
        <v>102</v>
      </c>
      <c r="BI103" t="s">
        <v>102</v>
      </c>
      <c r="BK103" t="s">
        <v>191</v>
      </c>
      <c r="BL103" t="s">
        <v>336</v>
      </c>
      <c r="BM103">
        <v>10.63</v>
      </c>
      <c r="BN103">
        <v>5</v>
      </c>
      <c r="CA103" t="s">
        <v>640</v>
      </c>
      <c r="CB103" t="s">
        <v>168</v>
      </c>
      <c r="CL103" t="s">
        <v>100</v>
      </c>
      <c r="CM103" t="s">
        <v>102</v>
      </c>
      <c r="CN103" t="s">
        <v>272</v>
      </c>
      <c r="CO103" s="1">
        <v>41992</v>
      </c>
      <c r="CP103" s="1">
        <v>43634</v>
      </c>
    </row>
    <row r="104" spans="1:94" x14ac:dyDescent="0.25">
      <c r="A104" t="s">
        <v>641</v>
      </c>
      <c r="B104" t="str">
        <f xml:space="preserve"> "" &amp; 840254044302</f>
        <v>840254044302</v>
      </c>
      <c r="C104" t="s">
        <v>211</v>
      </c>
      <c r="D104" t="s">
        <v>642</v>
      </c>
      <c r="E104" t="s">
        <v>633</v>
      </c>
      <c r="F104" t="s">
        <v>186</v>
      </c>
      <c r="G104">
        <v>1</v>
      </c>
      <c r="H104">
        <v>1</v>
      </c>
      <c r="I104" t="s">
        <v>99</v>
      </c>
      <c r="J104" s="4">
        <v>150</v>
      </c>
      <c r="K104" s="4">
        <v>450</v>
      </c>
      <c r="O104" t="s">
        <v>100</v>
      </c>
      <c r="P104" s="4">
        <v>314.95</v>
      </c>
      <c r="S104">
        <v>7</v>
      </c>
      <c r="U104">
        <v>19</v>
      </c>
      <c r="V104">
        <v>5</v>
      </c>
      <c r="W104">
        <v>8.6199999999999992</v>
      </c>
      <c r="X104">
        <v>1</v>
      </c>
      <c r="Y104">
        <v>10.75</v>
      </c>
      <c r="Z104">
        <v>22.5</v>
      </c>
      <c r="AA104">
        <v>10.75</v>
      </c>
      <c r="AB104">
        <v>1.5049999999999999</v>
      </c>
      <c r="AC104">
        <v>10.14</v>
      </c>
      <c r="AE104">
        <v>3</v>
      </c>
      <c r="AF104" t="s">
        <v>187</v>
      </c>
      <c r="AG104">
        <v>60</v>
      </c>
      <c r="AK104" t="s">
        <v>102</v>
      </c>
      <c r="AM104" t="s">
        <v>102</v>
      </c>
      <c r="AN104" t="s">
        <v>100</v>
      </c>
      <c r="AO104" t="s">
        <v>102</v>
      </c>
      <c r="AP104" t="s">
        <v>117</v>
      </c>
      <c r="AQ104" t="s">
        <v>104</v>
      </c>
      <c r="AV104" t="s">
        <v>102</v>
      </c>
      <c r="AX104" t="s">
        <v>168</v>
      </c>
      <c r="BB104" t="s">
        <v>147</v>
      </c>
      <c r="BC104" t="s">
        <v>275</v>
      </c>
      <c r="BF104" t="s">
        <v>643</v>
      </c>
      <c r="BG104" t="s">
        <v>102</v>
      </c>
      <c r="BH104" t="s">
        <v>102</v>
      </c>
      <c r="BI104" t="s">
        <v>102</v>
      </c>
      <c r="BK104" t="s">
        <v>191</v>
      </c>
      <c r="BL104" t="s">
        <v>336</v>
      </c>
      <c r="BM104">
        <v>18.13</v>
      </c>
      <c r="BN104">
        <v>5</v>
      </c>
      <c r="CA104" t="s">
        <v>644</v>
      </c>
      <c r="CB104" t="s">
        <v>168</v>
      </c>
      <c r="CL104" t="s">
        <v>100</v>
      </c>
      <c r="CM104" t="s">
        <v>102</v>
      </c>
      <c r="CN104" t="s">
        <v>272</v>
      </c>
      <c r="CO104" s="1">
        <v>41927</v>
      </c>
      <c r="CP104" s="1">
        <v>43634</v>
      </c>
    </row>
    <row r="105" spans="1:94" x14ac:dyDescent="0.25">
      <c r="A105" t="s">
        <v>645</v>
      </c>
      <c r="B105" t="str">
        <f xml:space="preserve"> "" &amp; 840254044319</f>
        <v>840254044319</v>
      </c>
      <c r="C105" t="s">
        <v>217</v>
      </c>
      <c r="D105" t="s">
        <v>646</v>
      </c>
      <c r="E105" t="s">
        <v>633</v>
      </c>
      <c r="F105" t="s">
        <v>186</v>
      </c>
      <c r="G105">
        <v>1</v>
      </c>
      <c r="H105">
        <v>1</v>
      </c>
      <c r="I105" t="s">
        <v>99</v>
      </c>
      <c r="J105" s="4">
        <v>195</v>
      </c>
      <c r="K105" s="4">
        <v>585</v>
      </c>
      <c r="O105" t="s">
        <v>100</v>
      </c>
      <c r="P105" s="4">
        <v>409.95</v>
      </c>
      <c r="S105">
        <v>7</v>
      </c>
      <c r="U105">
        <v>26</v>
      </c>
      <c r="V105">
        <v>5</v>
      </c>
      <c r="W105">
        <v>11.57</v>
      </c>
      <c r="X105">
        <v>1</v>
      </c>
      <c r="Y105">
        <v>10.75</v>
      </c>
      <c r="Z105">
        <v>27.75</v>
      </c>
      <c r="AA105">
        <v>11.5</v>
      </c>
      <c r="AB105">
        <v>1.9850000000000001</v>
      </c>
      <c r="AC105">
        <v>13.51</v>
      </c>
      <c r="AE105">
        <v>4</v>
      </c>
      <c r="AF105" t="s">
        <v>187</v>
      </c>
      <c r="AG105">
        <v>60</v>
      </c>
      <c r="AK105" t="s">
        <v>102</v>
      </c>
      <c r="AM105" t="s">
        <v>102</v>
      </c>
      <c r="AN105" t="s">
        <v>100</v>
      </c>
      <c r="AO105" t="s">
        <v>102</v>
      </c>
      <c r="AP105" t="s">
        <v>117</v>
      </c>
      <c r="AQ105" t="s">
        <v>104</v>
      </c>
      <c r="AV105" t="s">
        <v>102</v>
      </c>
      <c r="AX105" t="s">
        <v>168</v>
      </c>
      <c r="BB105" t="s">
        <v>147</v>
      </c>
      <c r="BC105" t="s">
        <v>275</v>
      </c>
      <c r="BF105" t="s">
        <v>647</v>
      </c>
      <c r="BG105" t="s">
        <v>102</v>
      </c>
      <c r="BH105" t="s">
        <v>102</v>
      </c>
      <c r="BI105" t="s">
        <v>102</v>
      </c>
      <c r="BK105" t="s">
        <v>191</v>
      </c>
      <c r="BL105" t="s">
        <v>336</v>
      </c>
      <c r="BM105">
        <v>24.38</v>
      </c>
      <c r="BN105">
        <v>5</v>
      </c>
      <c r="CA105" t="s">
        <v>648</v>
      </c>
      <c r="CB105" t="s">
        <v>168</v>
      </c>
      <c r="CL105" t="s">
        <v>100</v>
      </c>
      <c r="CM105" t="s">
        <v>102</v>
      </c>
      <c r="CN105" t="s">
        <v>272</v>
      </c>
      <c r="CO105" s="1">
        <v>41992</v>
      </c>
      <c r="CP105" s="1">
        <v>43634</v>
      </c>
    </row>
    <row r="106" spans="1:94" x14ac:dyDescent="0.25">
      <c r="A106" t="s">
        <v>652</v>
      </c>
      <c r="B106" t="str">
        <f xml:space="preserve"> "" &amp; 840254034693</f>
        <v>840254034693</v>
      </c>
      <c r="C106" t="s">
        <v>653</v>
      </c>
      <c r="D106" t="s">
        <v>654</v>
      </c>
      <c r="F106" t="s">
        <v>649</v>
      </c>
      <c r="G106">
        <v>1</v>
      </c>
      <c r="H106">
        <v>1</v>
      </c>
      <c r="I106" t="s">
        <v>99</v>
      </c>
      <c r="J106" s="4">
        <v>450</v>
      </c>
      <c r="K106" s="4">
        <v>1350</v>
      </c>
      <c r="O106" t="s">
        <v>100</v>
      </c>
      <c r="P106" s="4">
        <v>944.95</v>
      </c>
      <c r="S106">
        <v>31.75</v>
      </c>
      <c r="U106">
        <v>13.5</v>
      </c>
      <c r="V106">
        <v>17.25</v>
      </c>
      <c r="W106">
        <v>21.67</v>
      </c>
      <c r="X106">
        <v>1</v>
      </c>
      <c r="Y106">
        <v>34.75</v>
      </c>
      <c r="Z106">
        <v>20.88</v>
      </c>
      <c r="AA106">
        <v>17</v>
      </c>
      <c r="AB106">
        <v>7.1379999999999999</v>
      </c>
      <c r="AC106">
        <v>28.88</v>
      </c>
      <c r="AE106">
        <v>3</v>
      </c>
      <c r="AF106" t="s">
        <v>176</v>
      </c>
      <c r="AG106">
        <v>60</v>
      </c>
      <c r="AK106" t="s">
        <v>102</v>
      </c>
      <c r="AL106">
        <v>1</v>
      </c>
      <c r="AM106" t="s">
        <v>102</v>
      </c>
      <c r="AN106" t="s">
        <v>100</v>
      </c>
      <c r="AO106" t="s">
        <v>102</v>
      </c>
      <c r="AP106" t="s">
        <v>117</v>
      </c>
      <c r="AQ106" t="s">
        <v>104</v>
      </c>
      <c r="AV106" t="s">
        <v>102</v>
      </c>
      <c r="AX106" t="s">
        <v>650</v>
      </c>
      <c r="AZ106" t="s">
        <v>163</v>
      </c>
      <c r="BB106" t="s">
        <v>118</v>
      </c>
      <c r="BC106" t="s">
        <v>655</v>
      </c>
      <c r="BF106" t="s">
        <v>656</v>
      </c>
      <c r="BG106" t="s">
        <v>102</v>
      </c>
      <c r="BH106" t="s">
        <v>102</v>
      </c>
      <c r="BI106" t="s">
        <v>102</v>
      </c>
      <c r="BJ106" t="s">
        <v>100</v>
      </c>
      <c r="BK106" t="s">
        <v>651</v>
      </c>
      <c r="BL106" t="s">
        <v>214</v>
      </c>
      <c r="CA106" t="s">
        <v>657</v>
      </c>
      <c r="CB106" t="s">
        <v>650</v>
      </c>
      <c r="CL106" t="s">
        <v>102</v>
      </c>
      <c r="CM106" t="s">
        <v>102</v>
      </c>
      <c r="CO106" s="1">
        <v>40504</v>
      </c>
      <c r="CP106" s="1">
        <v>43634</v>
      </c>
    </row>
    <row r="107" spans="1:94" x14ac:dyDescent="0.25">
      <c r="A107" t="s">
        <v>658</v>
      </c>
      <c r="B107" t="str">
        <f xml:space="preserve"> "" &amp; 840254027473</f>
        <v>840254027473</v>
      </c>
      <c r="C107" t="s">
        <v>659</v>
      </c>
      <c r="D107" t="s">
        <v>660</v>
      </c>
      <c r="E107" t="s">
        <v>326</v>
      </c>
      <c r="F107" t="s">
        <v>371</v>
      </c>
      <c r="G107">
        <v>1</v>
      </c>
      <c r="H107">
        <v>1</v>
      </c>
      <c r="I107" t="s">
        <v>99</v>
      </c>
      <c r="J107" s="4">
        <v>750</v>
      </c>
      <c r="K107" s="4">
        <v>2250</v>
      </c>
      <c r="O107" t="s">
        <v>100</v>
      </c>
      <c r="P107" s="4">
        <v>1579.95</v>
      </c>
      <c r="S107">
        <v>50.5</v>
      </c>
      <c r="U107">
        <v>25.75</v>
      </c>
      <c r="W107">
        <v>46.52</v>
      </c>
      <c r="X107">
        <v>1</v>
      </c>
      <c r="Y107">
        <v>26</v>
      </c>
      <c r="Z107">
        <v>54</v>
      </c>
      <c r="AA107">
        <v>29.5</v>
      </c>
      <c r="AB107">
        <v>23.969000000000001</v>
      </c>
      <c r="AC107">
        <v>61.07</v>
      </c>
      <c r="AE107">
        <v>8</v>
      </c>
      <c r="AF107" t="s">
        <v>176</v>
      </c>
      <c r="AG107">
        <v>60</v>
      </c>
      <c r="AH107">
        <v>0</v>
      </c>
      <c r="AJ107">
        <v>0</v>
      </c>
      <c r="AK107" t="s">
        <v>102</v>
      </c>
      <c r="AM107" t="s">
        <v>102</v>
      </c>
      <c r="AN107" t="s">
        <v>102</v>
      </c>
      <c r="AO107" t="s">
        <v>100</v>
      </c>
      <c r="AP107" t="s">
        <v>103</v>
      </c>
      <c r="AQ107" t="s">
        <v>104</v>
      </c>
      <c r="AV107" t="s">
        <v>102</v>
      </c>
      <c r="AX107" t="s">
        <v>327</v>
      </c>
      <c r="AZ107" t="s">
        <v>163</v>
      </c>
      <c r="BB107" t="s">
        <v>118</v>
      </c>
      <c r="BC107" t="s">
        <v>661</v>
      </c>
      <c r="BF107" t="s">
        <v>662</v>
      </c>
      <c r="BG107" t="s">
        <v>102</v>
      </c>
      <c r="BH107" t="s">
        <v>102</v>
      </c>
      <c r="BI107" t="s">
        <v>102</v>
      </c>
      <c r="BK107" t="s">
        <v>107</v>
      </c>
      <c r="CA107" t="s">
        <v>663</v>
      </c>
      <c r="CB107" t="s">
        <v>327</v>
      </c>
      <c r="CL107" t="s">
        <v>102</v>
      </c>
      <c r="CM107" t="s">
        <v>102</v>
      </c>
      <c r="CN107" t="s">
        <v>343</v>
      </c>
      <c r="CO107" s="1">
        <v>38624</v>
      </c>
      <c r="CP107" s="1">
        <v>43634</v>
      </c>
    </row>
    <row r="108" spans="1:94" x14ac:dyDescent="0.25">
      <c r="A108" t="s">
        <v>664</v>
      </c>
      <c r="B108" t="str">
        <f xml:space="preserve"> "" &amp; 840254020047</f>
        <v>840254020047</v>
      </c>
      <c r="C108" t="s">
        <v>401</v>
      </c>
      <c r="D108" t="s">
        <v>665</v>
      </c>
      <c r="E108" t="s">
        <v>326</v>
      </c>
      <c r="F108" t="s">
        <v>371</v>
      </c>
      <c r="G108">
        <v>1</v>
      </c>
      <c r="H108">
        <v>1</v>
      </c>
      <c r="I108" t="s">
        <v>99</v>
      </c>
      <c r="J108" s="4">
        <v>1295</v>
      </c>
      <c r="K108" s="4">
        <v>3885</v>
      </c>
      <c r="O108" t="s">
        <v>100</v>
      </c>
      <c r="P108" s="4">
        <v>2719.95</v>
      </c>
      <c r="S108">
        <v>62.25</v>
      </c>
      <c r="T108">
        <v>34</v>
      </c>
      <c r="U108">
        <v>34</v>
      </c>
      <c r="W108">
        <v>67.900000000000006</v>
      </c>
      <c r="X108">
        <v>1</v>
      </c>
      <c r="Y108">
        <v>32.5</v>
      </c>
      <c r="Z108">
        <v>66.5</v>
      </c>
      <c r="AA108">
        <v>36.5</v>
      </c>
      <c r="AB108">
        <v>45.651000000000003</v>
      </c>
      <c r="AC108">
        <v>96.56</v>
      </c>
      <c r="AE108">
        <v>12</v>
      </c>
      <c r="AF108" t="s">
        <v>176</v>
      </c>
      <c r="AG108">
        <v>60</v>
      </c>
      <c r="AH108">
        <v>0</v>
      </c>
      <c r="AJ108">
        <v>0</v>
      </c>
      <c r="AK108" t="s">
        <v>102</v>
      </c>
      <c r="AM108" t="s">
        <v>102</v>
      </c>
      <c r="AN108" t="s">
        <v>100</v>
      </c>
      <c r="AO108" t="s">
        <v>102</v>
      </c>
      <c r="AP108" t="s">
        <v>103</v>
      </c>
      <c r="AQ108" t="s">
        <v>104</v>
      </c>
      <c r="AV108" t="s">
        <v>102</v>
      </c>
      <c r="AX108" t="s">
        <v>327</v>
      </c>
      <c r="AZ108" t="s">
        <v>163</v>
      </c>
      <c r="BB108" t="s">
        <v>118</v>
      </c>
      <c r="BC108" t="s">
        <v>666</v>
      </c>
      <c r="BF108" t="s">
        <v>667</v>
      </c>
      <c r="BG108" t="s">
        <v>102</v>
      </c>
      <c r="BH108" t="s">
        <v>102</v>
      </c>
      <c r="BI108" t="s">
        <v>102</v>
      </c>
      <c r="BK108" t="s">
        <v>107</v>
      </c>
      <c r="BT108">
        <v>10.5</v>
      </c>
      <c r="CA108" t="s">
        <v>668</v>
      </c>
      <c r="CB108" t="s">
        <v>327</v>
      </c>
      <c r="CL108" t="s">
        <v>100</v>
      </c>
      <c r="CM108" t="s">
        <v>102</v>
      </c>
      <c r="CN108" t="s">
        <v>343</v>
      </c>
      <c r="CO108" s="1">
        <v>37723</v>
      </c>
      <c r="CP108" s="1">
        <v>43634</v>
      </c>
    </row>
    <row r="109" spans="1:94" x14ac:dyDescent="0.25">
      <c r="A109" t="s">
        <v>669</v>
      </c>
      <c r="B109" t="str">
        <f xml:space="preserve"> "" &amp; 840254020061</f>
        <v>840254020061</v>
      </c>
      <c r="C109" t="s">
        <v>95</v>
      </c>
      <c r="D109" t="s">
        <v>95</v>
      </c>
      <c r="F109" t="s">
        <v>98</v>
      </c>
      <c r="G109">
        <v>1</v>
      </c>
      <c r="H109">
        <v>1</v>
      </c>
      <c r="I109" t="s">
        <v>99</v>
      </c>
      <c r="J109" s="4">
        <v>995</v>
      </c>
      <c r="K109" s="4">
        <v>2985</v>
      </c>
      <c r="O109" t="s">
        <v>100</v>
      </c>
      <c r="P109" s="4">
        <v>2089.9499999999998</v>
      </c>
      <c r="S109">
        <v>64</v>
      </c>
      <c r="U109">
        <v>29.5</v>
      </c>
      <c r="W109">
        <v>39.24</v>
      </c>
      <c r="X109">
        <v>1</v>
      </c>
      <c r="Y109">
        <v>35.5</v>
      </c>
      <c r="Z109">
        <v>70</v>
      </c>
      <c r="AA109">
        <v>31.25</v>
      </c>
      <c r="AB109">
        <v>44.94</v>
      </c>
      <c r="AC109">
        <v>65.7</v>
      </c>
      <c r="AE109">
        <v>12</v>
      </c>
      <c r="AF109" t="s">
        <v>187</v>
      </c>
      <c r="AG109">
        <v>60</v>
      </c>
      <c r="AK109" t="s">
        <v>102</v>
      </c>
      <c r="AM109" t="s">
        <v>102</v>
      </c>
      <c r="AN109" t="s">
        <v>102</v>
      </c>
      <c r="AO109" t="s">
        <v>100</v>
      </c>
      <c r="AP109" t="s">
        <v>103</v>
      </c>
      <c r="AQ109" t="s">
        <v>104</v>
      </c>
      <c r="AV109" t="s">
        <v>102</v>
      </c>
      <c r="AX109" t="s">
        <v>670</v>
      </c>
      <c r="AZ109" t="s">
        <v>163</v>
      </c>
      <c r="BF109" t="s">
        <v>671</v>
      </c>
      <c r="BG109" t="s">
        <v>102</v>
      </c>
      <c r="BH109" t="s">
        <v>102</v>
      </c>
      <c r="BI109" t="s">
        <v>102</v>
      </c>
      <c r="BK109" t="s">
        <v>107</v>
      </c>
      <c r="CA109" t="s">
        <v>672</v>
      </c>
      <c r="CB109" t="s">
        <v>670</v>
      </c>
      <c r="CL109" t="s">
        <v>102</v>
      </c>
      <c r="CM109" t="s">
        <v>102</v>
      </c>
      <c r="CN109" t="s">
        <v>193</v>
      </c>
      <c r="CO109" s="1">
        <v>37722</v>
      </c>
      <c r="CP109" s="1">
        <v>43634</v>
      </c>
    </row>
    <row r="110" spans="1:94" x14ac:dyDescent="0.25">
      <c r="A110" t="s">
        <v>673</v>
      </c>
      <c r="B110" t="str">
        <f xml:space="preserve"> "" &amp; 840254042940</f>
        <v>840254042940</v>
      </c>
      <c r="C110" t="s">
        <v>674</v>
      </c>
      <c r="D110" t="s">
        <v>675</v>
      </c>
      <c r="E110" t="s">
        <v>676</v>
      </c>
      <c r="F110" t="s">
        <v>371</v>
      </c>
      <c r="G110">
        <v>1</v>
      </c>
      <c r="H110">
        <v>1</v>
      </c>
      <c r="I110" t="s">
        <v>99</v>
      </c>
      <c r="J110" s="4">
        <v>375</v>
      </c>
      <c r="K110" s="4">
        <v>1125</v>
      </c>
      <c r="O110" t="s">
        <v>100</v>
      </c>
      <c r="P110" s="4">
        <v>789.95</v>
      </c>
      <c r="S110">
        <v>36</v>
      </c>
      <c r="U110">
        <v>27</v>
      </c>
      <c r="W110">
        <v>30.38</v>
      </c>
      <c r="X110">
        <v>1</v>
      </c>
      <c r="Y110">
        <v>11.25</v>
      </c>
      <c r="Z110">
        <v>32</v>
      </c>
      <c r="AA110">
        <v>32</v>
      </c>
      <c r="AB110">
        <v>6.6669999999999998</v>
      </c>
      <c r="AC110">
        <v>39.450000000000003</v>
      </c>
      <c r="AE110">
        <v>5</v>
      </c>
      <c r="AG110">
        <v>100</v>
      </c>
      <c r="AK110" t="s">
        <v>102</v>
      </c>
      <c r="AM110" t="s">
        <v>102</v>
      </c>
      <c r="AN110" t="s">
        <v>102</v>
      </c>
      <c r="AO110" t="s">
        <v>102</v>
      </c>
      <c r="AP110" t="s">
        <v>117</v>
      </c>
      <c r="AQ110" t="s">
        <v>104</v>
      </c>
      <c r="AV110" t="s">
        <v>102</v>
      </c>
      <c r="AX110" t="s">
        <v>677</v>
      </c>
      <c r="AZ110" t="s">
        <v>163</v>
      </c>
      <c r="BB110" t="s">
        <v>678</v>
      </c>
      <c r="BF110" t="s">
        <v>679</v>
      </c>
      <c r="BG110" t="s">
        <v>102</v>
      </c>
      <c r="BH110" t="s">
        <v>102</v>
      </c>
      <c r="BI110" t="s">
        <v>102</v>
      </c>
      <c r="BK110" t="s">
        <v>107</v>
      </c>
      <c r="CA110" t="s">
        <v>680</v>
      </c>
      <c r="CB110" t="s">
        <v>677</v>
      </c>
      <c r="CL110" t="s">
        <v>102</v>
      </c>
      <c r="CM110" t="s">
        <v>102</v>
      </c>
      <c r="CO110" s="1">
        <v>41703</v>
      </c>
      <c r="CP110" s="1">
        <v>43634</v>
      </c>
    </row>
    <row r="111" spans="1:94" x14ac:dyDescent="0.25">
      <c r="A111" t="s">
        <v>681</v>
      </c>
      <c r="B111" t="str">
        <f xml:space="preserve"> "" &amp; 840254042957</f>
        <v>840254042957</v>
      </c>
      <c r="C111" t="s">
        <v>674</v>
      </c>
      <c r="D111" t="s">
        <v>675</v>
      </c>
      <c r="E111" t="s">
        <v>676</v>
      </c>
      <c r="F111" t="s">
        <v>371</v>
      </c>
      <c r="G111">
        <v>1</v>
      </c>
      <c r="H111">
        <v>1</v>
      </c>
      <c r="I111" t="s">
        <v>99</v>
      </c>
      <c r="J111" s="4">
        <v>375</v>
      </c>
      <c r="K111" s="4">
        <v>1125</v>
      </c>
      <c r="O111" t="s">
        <v>100</v>
      </c>
      <c r="P111" s="4">
        <v>789.95</v>
      </c>
      <c r="S111">
        <v>36</v>
      </c>
      <c r="U111">
        <v>27</v>
      </c>
      <c r="W111">
        <v>30.38</v>
      </c>
      <c r="X111">
        <v>1</v>
      </c>
      <c r="Y111">
        <v>11.25</v>
      </c>
      <c r="Z111">
        <v>32</v>
      </c>
      <c r="AA111">
        <v>32</v>
      </c>
      <c r="AB111">
        <v>6.6669999999999998</v>
      </c>
      <c r="AC111">
        <v>39.450000000000003</v>
      </c>
      <c r="AE111">
        <v>5</v>
      </c>
      <c r="AG111">
        <v>100</v>
      </c>
      <c r="AK111" t="s">
        <v>102</v>
      </c>
      <c r="AM111" t="s">
        <v>102</v>
      </c>
      <c r="AN111" t="s">
        <v>102</v>
      </c>
      <c r="AO111" t="s">
        <v>102</v>
      </c>
      <c r="AP111" t="s">
        <v>117</v>
      </c>
      <c r="AQ111" t="s">
        <v>104</v>
      </c>
      <c r="AV111" t="s">
        <v>102</v>
      </c>
      <c r="AX111" t="s">
        <v>682</v>
      </c>
      <c r="AZ111" t="s">
        <v>163</v>
      </c>
      <c r="BB111" t="s">
        <v>678</v>
      </c>
      <c r="BF111" t="s">
        <v>683</v>
      </c>
      <c r="BG111" t="s">
        <v>102</v>
      </c>
      <c r="BH111" t="s">
        <v>102</v>
      </c>
      <c r="BI111" t="s">
        <v>102</v>
      </c>
      <c r="BK111" t="s">
        <v>107</v>
      </c>
      <c r="CA111" t="s">
        <v>680</v>
      </c>
      <c r="CB111" t="s">
        <v>682</v>
      </c>
      <c r="CL111" t="s">
        <v>102</v>
      </c>
      <c r="CM111" t="s">
        <v>102</v>
      </c>
      <c r="CO111" s="1">
        <v>41703</v>
      </c>
      <c r="CP111" s="1">
        <v>43634</v>
      </c>
    </row>
    <row r="112" spans="1:94" x14ac:dyDescent="0.25">
      <c r="A112" t="s">
        <v>684</v>
      </c>
      <c r="B112" t="str">
        <f xml:space="preserve"> "" &amp; 840254043008</f>
        <v>840254043008</v>
      </c>
      <c r="C112" t="s">
        <v>390</v>
      </c>
      <c r="D112" t="s">
        <v>685</v>
      </c>
      <c r="E112" t="s">
        <v>676</v>
      </c>
      <c r="F112" t="s">
        <v>371</v>
      </c>
      <c r="G112">
        <v>1</v>
      </c>
      <c r="H112">
        <v>1</v>
      </c>
      <c r="I112" t="s">
        <v>99</v>
      </c>
      <c r="J112" s="4">
        <v>695</v>
      </c>
      <c r="K112" s="4">
        <v>2085</v>
      </c>
      <c r="O112" t="s">
        <v>100</v>
      </c>
      <c r="P112" s="4">
        <v>1459.95</v>
      </c>
      <c r="S112">
        <v>43.5</v>
      </c>
      <c r="U112">
        <v>35</v>
      </c>
      <c r="W112">
        <v>42.64</v>
      </c>
      <c r="X112">
        <v>1</v>
      </c>
      <c r="Y112">
        <v>11.75</v>
      </c>
      <c r="Z112">
        <v>39.75</v>
      </c>
      <c r="AA112">
        <v>39.75</v>
      </c>
      <c r="AB112">
        <v>10.744</v>
      </c>
      <c r="AC112">
        <v>56.45</v>
      </c>
      <c r="AE112">
        <v>6</v>
      </c>
      <c r="AG112">
        <v>100</v>
      </c>
      <c r="AK112" t="s">
        <v>102</v>
      </c>
      <c r="AM112" t="s">
        <v>102</v>
      </c>
      <c r="AN112" t="s">
        <v>102</v>
      </c>
      <c r="AO112" t="s">
        <v>102</v>
      </c>
      <c r="AP112" t="s">
        <v>103</v>
      </c>
      <c r="AQ112" t="s">
        <v>104</v>
      </c>
      <c r="AV112" t="s">
        <v>102</v>
      </c>
      <c r="AX112" t="s">
        <v>677</v>
      </c>
      <c r="AZ112" t="s">
        <v>163</v>
      </c>
      <c r="BF112" t="s">
        <v>686</v>
      </c>
      <c r="BG112" t="s">
        <v>102</v>
      </c>
      <c r="BH112" t="s">
        <v>102</v>
      </c>
      <c r="BI112" t="s">
        <v>102</v>
      </c>
      <c r="BK112" t="s">
        <v>107</v>
      </c>
      <c r="CA112" t="s">
        <v>687</v>
      </c>
      <c r="CB112" t="s">
        <v>677</v>
      </c>
      <c r="CL112" t="s">
        <v>102</v>
      </c>
      <c r="CM112" t="s">
        <v>102</v>
      </c>
      <c r="CO112" s="1">
        <v>41703</v>
      </c>
      <c r="CP112" s="1">
        <v>43634</v>
      </c>
    </row>
    <row r="113" spans="1:94" x14ac:dyDescent="0.25">
      <c r="A113" t="s">
        <v>688</v>
      </c>
      <c r="B113" t="str">
        <f xml:space="preserve"> "" &amp; 840254043015</f>
        <v>840254043015</v>
      </c>
      <c r="C113" t="s">
        <v>390</v>
      </c>
      <c r="D113" t="s">
        <v>685</v>
      </c>
      <c r="E113" t="s">
        <v>676</v>
      </c>
      <c r="F113" t="s">
        <v>371</v>
      </c>
      <c r="G113">
        <v>1</v>
      </c>
      <c r="H113">
        <v>1</v>
      </c>
      <c r="I113" t="s">
        <v>99</v>
      </c>
      <c r="J113" s="4">
        <v>695</v>
      </c>
      <c r="K113" s="4">
        <v>2085</v>
      </c>
      <c r="O113" t="s">
        <v>100</v>
      </c>
      <c r="P113" s="4">
        <v>1459.95</v>
      </c>
      <c r="S113">
        <v>43.5</v>
      </c>
      <c r="U113">
        <v>35</v>
      </c>
      <c r="W113">
        <v>42.64</v>
      </c>
      <c r="X113">
        <v>1</v>
      </c>
      <c r="Y113">
        <v>11.75</v>
      </c>
      <c r="Z113">
        <v>39.75</v>
      </c>
      <c r="AA113">
        <v>39.75</v>
      </c>
      <c r="AB113">
        <v>10.744</v>
      </c>
      <c r="AC113">
        <v>56.45</v>
      </c>
      <c r="AE113">
        <v>6</v>
      </c>
      <c r="AG113">
        <v>100</v>
      </c>
      <c r="AK113" t="s">
        <v>102</v>
      </c>
      <c r="AM113" t="s">
        <v>102</v>
      </c>
      <c r="AN113" t="s">
        <v>102</v>
      </c>
      <c r="AO113" t="s">
        <v>102</v>
      </c>
      <c r="AP113" t="s">
        <v>103</v>
      </c>
      <c r="AQ113" t="s">
        <v>104</v>
      </c>
      <c r="AV113" t="s">
        <v>102</v>
      </c>
      <c r="AX113" t="s">
        <v>682</v>
      </c>
      <c r="AZ113" t="s">
        <v>163</v>
      </c>
      <c r="BB113" t="s">
        <v>678</v>
      </c>
      <c r="BF113" t="s">
        <v>689</v>
      </c>
      <c r="BG113" t="s">
        <v>102</v>
      </c>
      <c r="BH113" t="s">
        <v>102</v>
      </c>
      <c r="BI113" t="s">
        <v>102</v>
      </c>
      <c r="BK113" t="s">
        <v>107</v>
      </c>
      <c r="CA113" t="s">
        <v>687</v>
      </c>
      <c r="CB113" t="s">
        <v>682</v>
      </c>
      <c r="CL113" t="s">
        <v>102</v>
      </c>
      <c r="CM113" t="s">
        <v>102</v>
      </c>
      <c r="CO113" s="1">
        <v>41703</v>
      </c>
      <c r="CP113" s="1">
        <v>43634</v>
      </c>
    </row>
    <row r="114" spans="1:94" x14ac:dyDescent="0.25">
      <c r="A114" t="s">
        <v>690</v>
      </c>
      <c r="B114" t="str">
        <f xml:space="preserve"> "" &amp; 840254042964</f>
        <v>840254042964</v>
      </c>
      <c r="C114" t="s">
        <v>691</v>
      </c>
      <c r="D114" t="s">
        <v>692</v>
      </c>
      <c r="E114" t="s">
        <v>676</v>
      </c>
      <c r="F114" t="s">
        <v>371</v>
      </c>
      <c r="G114">
        <v>1</v>
      </c>
      <c r="H114">
        <v>1</v>
      </c>
      <c r="I114" t="s">
        <v>99</v>
      </c>
      <c r="J114" s="4">
        <v>995</v>
      </c>
      <c r="K114" s="4">
        <v>2985</v>
      </c>
      <c r="O114" t="s">
        <v>100</v>
      </c>
      <c r="P114" s="4">
        <v>2089.9499999999998</v>
      </c>
      <c r="S114">
        <v>46</v>
      </c>
      <c r="U114">
        <v>43</v>
      </c>
      <c r="W114">
        <v>59.09</v>
      </c>
      <c r="X114">
        <v>1</v>
      </c>
      <c r="Y114">
        <v>15</v>
      </c>
      <c r="Z114">
        <v>51.5</v>
      </c>
      <c r="AA114">
        <v>51.5</v>
      </c>
      <c r="AB114">
        <v>23.023</v>
      </c>
      <c r="AC114">
        <v>86.37</v>
      </c>
      <c r="AE114">
        <v>8</v>
      </c>
      <c r="AG114">
        <v>100</v>
      </c>
      <c r="AK114" t="s">
        <v>102</v>
      </c>
      <c r="AM114" t="s">
        <v>102</v>
      </c>
      <c r="AN114" t="s">
        <v>102</v>
      </c>
      <c r="AO114" t="s">
        <v>102</v>
      </c>
      <c r="AP114" t="s">
        <v>103</v>
      </c>
      <c r="AQ114" t="s">
        <v>104</v>
      </c>
      <c r="AV114" t="s">
        <v>102</v>
      </c>
      <c r="AX114" t="s">
        <v>677</v>
      </c>
      <c r="AZ114" t="s">
        <v>163</v>
      </c>
      <c r="BB114" t="s">
        <v>678</v>
      </c>
      <c r="BF114" t="s">
        <v>693</v>
      </c>
      <c r="BG114" t="s">
        <v>102</v>
      </c>
      <c r="BH114" t="s">
        <v>102</v>
      </c>
      <c r="BI114" t="s">
        <v>102</v>
      </c>
      <c r="BK114" t="s">
        <v>107</v>
      </c>
      <c r="CA114" t="s">
        <v>694</v>
      </c>
      <c r="CB114" t="s">
        <v>677</v>
      </c>
      <c r="CL114" t="s">
        <v>102</v>
      </c>
      <c r="CM114" t="s">
        <v>102</v>
      </c>
      <c r="CO114" s="1">
        <v>41703</v>
      </c>
      <c r="CP114" s="1">
        <v>43634</v>
      </c>
    </row>
    <row r="115" spans="1:94" x14ac:dyDescent="0.25">
      <c r="A115" t="s">
        <v>695</v>
      </c>
      <c r="B115" t="str">
        <f xml:space="preserve"> "" &amp; 840254042971</f>
        <v>840254042971</v>
      </c>
      <c r="C115" t="s">
        <v>691</v>
      </c>
      <c r="D115" t="s">
        <v>692</v>
      </c>
      <c r="E115" t="s">
        <v>676</v>
      </c>
      <c r="F115" t="s">
        <v>371</v>
      </c>
      <c r="G115">
        <v>1</v>
      </c>
      <c r="H115">
        <v>1</v>
      </c>
      <c r="I115" t="s">
        <v>99</v>
      </c>
      <c r="J115" s="4">
        <v>995</v>
      </c>
      <c r="K115" s="4">
        <v>2985</v>
      </c>
      <c r="O115" t="s">
        <v>100</v>
      </c>
      <c r="P115" s="4">
        <v>2089.9499999999998</v>
      </c>
      <c r="S115">
        <v>46</v>
      </c>
      <c r="U115">
        <v>43</v>
      </c>
      <c r="W115">
        <v>59.09</v>
      </c>
      <c r="X115">
        <v>1</v>
      </c>
      <c r="Y115">
        <v>15</v>
      </c>
      <c r="Z115">
        <v>51.5</v>
      </c>
      <c r="AA115">
        <v>51.5</v>
      </c>
      <c r="AB115">
        <v>23.023</v>
      </c>
      <c r="AC115">
        <v>86.37</v>
      </c>
      <c r="AE115">
        <v>8</v>
      </c>
      <c r="AG115">
        <v>100</v>
      </c>
      <c r="AK115" t="s">
        <v>102</v>
      </c>
      <c r="AM115" t="s">
        <v>102</v>
      </c>
      <c r="AN115" t="s">
        <v>102</v>
      </c>
      <c r="AO115" t="s">
        <v>102</v>
      </c>
      <c r="AP115" t="s">
        <v>103</v>
      </c>
      <c r="AQ115" t="s">
        <v>104</v>
      </c>
      <c r="AV115" t="s">
        <v>102</v>
      </c>
      <c r="AX115" t="s">
        <v>682</v>
      </c>
      <c r="AZ115" t="s">
        <v>163</v>
      </c>
      <c r="BB115" t="s">
        <v>678</v>
      </c>
      <c r="BF115" t="s">
        <v>696</v>
      </c>
      <c r="BG115" t="s">
        <v>102</v>
      </c>
      <c r="BH115" t="s">
        <v>102</v>
      </c>
      <c r="BI115" t="s">
        <v>102</v>
      </c>
      <c r="BK115" t="s">
        <v>107</v>
      </c>
      <c r="CA115" t="s">
        <v>694</v>
      </c>
      <c r="CB115" t="s">
        <v>682</v>
      </c>
      <c r="CL115" t="s">
        <v>102</v>
      </c>
      <c r="CM115" t="s">
        <v>102</v>
      </c>
      <c r="CO115" s="1">
        <v>41703</v>
      </c>
      <c r="CP115" s="1">
        <v>43634</v>
      </c>
    </row>
    <row r="116" spans="1:94" x14ac:dyDescent="0.25">
      <c r="A116" t="s">
        <v>697</v>
      </c>
      <c r="B116" t="str">
        <f xml:space="preserve"> "" &amp; 840254042926</f>
        <v>840254042926</v>
      </c>
      <c r="C116" t="s">
        <v>400</v>
      </c>
      <c r="D116" t="s">
        <v>698</v>
      </c>
      <c r="E116" t="s">
        <v>676</v>
      </c>
      <c r="F116" t="s">
        <v>371</v>
      </c>
      <c r="G116">
        <v>1</v>
      </c>
      <c r="H116">
        <v>1</v>
      </c>
      <c r="I116" t="s">
        <v>99</v>
      </c>
      <c r="J116" s="4">
        <v>1695</v>
      </c>
      <c r="K116" s="4">
        <v>5085</v>
      </c>
      <c r="O116" t="s">
        <v>100</v>
      </c>
      <c r="P116" s="4">
        <v>3559.95</v>
      </c>
      <c r="S116">
        <v>60</v>
      </c>
      <c r="T116">
        <v>59</v>
      </c>
      <c r="U116">
        <v>59</v>
      </c>
      <c r="W116">
        <v>126.77</v>
      </c>
      <c r="X116">
        <v>1</v>
      </c>
      <c r="Y116">
        <v>19.5</v>
      </c>
      <c r="Z116">
        <v>67.25</v>
      </c>
      <c r="AA116">
        <v>67.25</v>
      </c>
      <c r="AB116">
        <v>51.036000000000001</v>
      </c>
      <c r="AC116">
        <v>176.61</v>
      </c>
      <c r="AE116">
        <v>12</v>
      </c>
      <c r="AF116" t="s">
        <v>699</v>
      </c>
      <c r="AG116">
        <v>100</v>
      </c>
      <c r="AK116" t="s">
        <v>102</v>
      </c>
      <c r="AM116" t="s">
        <v>102</v>
      </c>
      <c r="AN116" t="s">
        <v>100</v>
      </c>
      <c r="AO116" t="s">
        <v>102</v>
      </c>
      <c r="AP116" t="s">
        <v>103</v>
      </c>
      <c r="AQ116" t="s">
        <v>104</v>
      </c>
      <c r="AV116" t="s">
        <v>102</v>
      </c>
      <c r="AX116" t="s">
        <v>677</v>
      </c>
      <c r="AZ116" t="s">
        <v>163</v>
      </c>
      <c r="BB116" t="s">
        <v>700</v>
      </c>
      <c r="BC116" t="s">
        <v>701</v>
      </c>
      <c r="BF116" t="s">
        <v>702</v>
      </c>
      <c r="BG116" t="s">
        <v>102</v>
      </c>
      <c r="BH116" t="s">
        <v>102</v>
      </c>
      <c r="BI116" t="s">
        <v>102</v>
      </c>
      <c r="BK116" t="s">
        <v>107</v>
      </c>
      <c r="BQ116">
        <v>6</v>
      </c>
      <c r="BR116">
        <v>2</v>
      </c>
      <c r="BS116">
        <v>6</v>
      </c>
      <c r="BT116">
        <v>6</v>
      </c>
      <c r="CA116" t="s">
        <v>703</v>
      </c>
      <c r="CB116" t="s">
        <v>677</v>
      </c>
      <c r="CL116" t="s">
        <v>102</v>
      </c>
      <c r="CM116" t="s">
        <v>102</v>
      </c>
      <c r="CN116" t="s">
        <v>704</v>
      </c>
      <c r="CO116" s="1">
        <v>41703</v>
      </c>
      <c r="CP116" s="1">
        <v>43634</v>
      </c>
    </row>
    <row r="117" spans="1:94" x14ac:dyDescent="0.25">
      <c r="A117" t="s">
        <v>705</v>
      </c>
      <c r="B117" t="str">
        <f xml:space="preserve"> "" &amp; 840254042933</f>
        <v>840254042933</v>
      </c>
      <c r="C117" t="s">
        <v>400</v>
      </c>
      <c r="D117" t="s">
        <v>698</v>
      </c>
      <c r="E117" t="s">
        <v>676</v>
      </c>
      <c r="F117" t="s">
        <v>371</v>
      </c>
      <c r="G117">
        <v>1</v>
      </c>
      <c r="H117">
        <v>1</v>
      </c>
      <c r="I117" t="s">
        <v>99</v>
      </c>
      <c r="J117" s="4">
        <v>1695</v>
      </c>
      <c r="K117" s="4">
        <v>5085</v>
      </c>
      <c r="O117" t="s">
        <v>100</v>
      </c>
      <c r="P117" s="4">
        <v>3559.95</v>
      </c>
      <c r="S117">
        <v>60</v>
      </c>
      <c r="U117">
        <v>59</v>
      </c>
      <c r="W117">
        <v>126.5</v>
      </c>
      <c r="X117">
        <v>1</v>
      </c>
      <c r="Y117">
        <v>19.5</v>
      </c>
      <c r="Z117">
        <v>67.25</v>
      </c>
      <c r="AA117">
        <v>67.25</v>
      </c>
      <c r="AB117">
        <v>51.036000000000001</v>
      </c>
      <c r="AC117">
        <v>176.24</v>
      </c>
      <c r="AE117">
        <v>12</v>
      </c>
      <c r="AG117">
        <v>100</v>
      </c>
      <c r="AK117" t="s">
        <v>102</v>
      </c>
      <c r="AM117" t="s">
        <v>102</v>
      </c>
      <c r="AN117" t="s">
        <v>102</v>
      </c>
      <c r="AO117" t="s">
        <v>102</v>
      </c>
      <c r="AP117" t="s">
        <v>103</v>
      </c>
      <c r="AQ117" t="s">
        <v>104</v>
      </c>
      <c r="AV117" t="s">
        <v>102</v>
      </c>
      <c r="AX117" t="s">
        <v>682</v>
      </c>
      <c r="AZ117" t="s">
        <v>163</v>
      </c>
      <c r="BF117" t="s">
        <v>706</v>
      </c>
      <c r="BG117" t="s">
        <v>102</v>
      </c>
      <c r="BH117" t="s">
        <v>102</v>
      </c>
      <c r="BI117" t="s">
        <v>102</v>
      </c>
      <c r="BK117" t="s">
        <v>107</v>
      </c>
      <c r="CA117" t="s">
        <v>703</v>
      </c>
      <c r="CB117" t="s">
        <v>682</v>
      </c>
      <c r="CL117" t="s">
        <v>102</v>
      </c>
      <c r="CM117" t="s">
        <v>102</v>
      </c>
      <c r="CO117" s="1">
        <v>41703</v>
      </c>
      <c r="CP117" s="1">
        <v>43634</v>
      </c>
    </row>
    <row r="118" spans="1:94" x14ac:dyDescent="0.25">
      <c r="A118" t="s">
        <v>707</v>
      </c>
      <c r="B118" t="str">
        <f xml:space="preserve"> "" &amp; 840254042988</f>
        <v>840254042988</v>
      </c>
      <c r="C118" t="s">
        <v>708</v>
      </c>
      <c r="D118" t="s">
        <v>709</v>
      </c>
      <c r="E118" t="s">
        <v>676</v>
      </c>
      <c r="F118" t="s">
        <v>710</v>
      </c>
      <c r="G118">
        <v>1</v>
      </c>
      <c r="H118">
        <v>1</v>
      </c>
      <c r="I118" t="s">
        <v>99</v>
      </c>
      <c r="J118" s="4">
        <v>175</v>
      </c>
      <c r="K118" s="4">
        <v>525</v>
      </c>
      <c r="O118" t="s">
        <v>100</v>
      </c>
      <c r="P118" s="4">
        <v>369.95</v>
      </c>
      <c r="S118">
        <v>14</v>
      </c>
      <c r="U118">
        <v>18</v>
      </c>
      <c r="W118">
        <v>8.67</v>
      </c>
      <c r="X118">
        <v>1</v>
      </c>
      <c r="Y118">
        <v>10</v>
      </c>
      <c r="Z118">
        <v>22.5</v>
      </c>
      <c r="AA118">
        <v>22.5</v>
      </c>
      <c r="AB118">
        <v>2.93</v>
      </c>
      <c r="AC118">
        <v>12.61</v>
      </c>
      <c r="AE118">
        <v>3</v>
      </c>
      <c r="AG118">
        <v>100</v>
      </c>
      <c r="AK118" t="s">
        <v>102</v>
      </c>
      <c r="AM118" t="s">
        <v>102</v>
      </c>
      <c r="AN118" t="s">
        <v>102</v>
      </c>
      <c r="AO118" t="s">
        <v>102</v>
      </c>
      <c r="AP118" t="s">
        <v>117</v>
      </c>
      <c r="AQ118" t="s">
        <v>104</v>
      </c>
      <c r="AV118" t="s">
        <v>102</v>
      </c>
      <c r="AX118" t="s">
        <v>677</v>
      </c>
      <c r="AZ118" t="s">
        <v>163</v>
      </c>
      <c r="BB118" t="s">
        <v>678</v>
      </c>
      <c r="BF118" t="s">
        <v>711</v>
      </c>
      <c r="BG118" t="s">
        <v>102</v>
      </c>
      <c r="BH118" t="s">
        <v>102</v>
      </c>
      <c r="BI118" t="s">
        <v>102</v>
      </c>
      <c r="BK118" t="s">
        <v>107</v>
      </c>
      <c r="CA118" t="s">
        <v>712</v>
      </c>
      <c r="CB118" t="s">
        <v>677</v>
      </c>
      <c r="CL118" t="s">
        <v>102</v>
      </c>
      <c r="CM118" t="s">
        <v>102</v>
      </c>
      <c r="CO118" s="1">
        <v>41703</v>
      </c>
      <c r="CP118" s="1">
        <v>43634</v>
      </c>
    </row>
    <row r="119" spans="1:94" x14ac:dyDescent="0.25">
      <c r="A119" t="s">
        <v>713</v>
      </c>
      <c r="B119" t="str">
        <f xml:space="preserve"> "" &amp; 840254042995</f>
        <v>840254042995</v>
      </c>
      <c r="C119" t="s">
        <v>708</v>
      </c>
      <c r="D119" t="s">
        <v>709</v>
      </c>
      <c r="E119" t="s">
        <v>676</v>
      </c>
      <c r="F119" t="s">
        <v>710</v>
      </c>
      <c r="G119">
        <v>1</v>
      </c>
      <c r="H119">
        <v>1</v>
      </c>
      <c r="I119" t="s">
        <v>99</v>
      </c>
      <c r="J119" s="4">
        <v>175</v>
      </c>
      <c r="K119" s="4">
        <v>525</v>
      </c>
      <c r="O119" t="s">
        <v>100</v>
      </c>
      <c r="P119" s="4">
        <v>369.95</v>
      </c>
      <c r="S119">
        <v>14</v>
      </c>
      <c r="U119">
        <v>18</v>
      </c>
      <c r="W119">
        <v>8.67</v>
      </c>
      <c r="X119">
        <v>1</v>
      </c>
      <c r="Y119">
        <v>10</v>
      </c>
      <c r="Z119">
        <v>22.5</v>
      </c>
      <c r="AA119">
        <v>22.5</v>
      </c>
      <c r="AB119">
        <v>2.93</v>
      </c>
      <c r="AC119">
        <v>12.61</v>
      </c>
      <c r="AE119">
        <v>3</v>
      </c>
      <c r="AG119">
        <v>100</v>
      </c>
      <c r="AK119" t="s">
        <v>102</v>
      </c>
      <c r="AM119" t="s">
        <v>102</v>
      </c>
      <c r="AN119" t="s">
        <v>102</v>
      </c>
      <c r="AO119" t="s">
        <v>102</v>
      </c>
      <c r="AP119" t="s">
        <v>117</v>
      </c>
      <c r="AQ119" t="s">
        <v>104</v>
      </c>
      <c r="AV119" t="s">
        <v>102</v>
      </c>
      <c r="AX119" t="s">
        <v>682</v>
      </c>
      <c r="AZ119" t="s">
        <v>163</v>
      </c>
      <c r="BB119" t="s">
        <v>678</v>
      </c>
      <c r="BF119" t="s">
        <v>714</v>
      </c>
      <c r="BG119" t="s">
        <v>102</v>
      </c>
      <c r="BH119" t="s">
        <v>102</v>
      </c>
      <c r="BI119" t="s">
        <v>102</v>
      </c>
      <c r="BK119" t="s">
        <v>107</v>
      </c>
      <c r="CA119" t="s">
        <v>712</v>
      </c>
      <c r="CB119" t="s">
        <v>682</v>
      </c>
      <c r="CL119" t="s">
        <v>102</v>
      </c>
      <c r="CM119" t="s">
        <v>102</v>
      </c>
      <c r="CO119" s="1">
        <v>41703</v>
      </c>
      <c r="CP119" s="1">
        <v>43634</v>
      </c>
    </row>
    <row r="120" spans="1:94" x14ac:dyDescent="0.25">
      <c r="A120" t="s">
        <v>715</v>
      </c>
      <c r="B120" t="str">
        <f xml:space="preserve"> "" &amp; 840254042902</f>
        <v>840254042902</v>
      </c>
      <c r="C120" t="s">
        <v>716</v>
      </c>
      <c r="D120" t="s">
        <v>717</v>
      </c>
      <c r="E120" t="s">
        <v>676</v>
      </c>
      <c r="F120" t="s">
        <v>710</v>
      </c>
      <c r="G120">
        <v>1</v>
      </c>
      <c r="H120">
        <v>1</v>
      </c>
      <c r="I120" t="s">
        <v>99</v>
      </c>
      <c r="J120" s="4">
        <v>335</v>
      </c>
      <c r="K120" s="4">
        <v>1005</v>
      </c>
      <c r="O120" t="s">
        <v>100</v>
      </c>
      <c r="P120" s="4">
        <v>704.95</v>
      </c>
      <c r="S120">
        <v>22.5</v>
      </c>
      <c r="U120">
        <v>27</v>
      </c>
      <c r="W120">
        <v>18.22</v>
      </c>
      <c r="X120">
        <v>1</v>
      </c>
      <c r="Y120">
        <v>10.25</v>
      </c>
      <c r="Z120">
        <v>32</v>
      </c>
      <c r="AA120">
        <v>32</v>
      </c>
      <c r="AB120">
        <v>6.0739999999999998</v>
      </c>
      <c r="AC120">
        <v>26.44</v>
      </c>
      <c r="AE120">
        <v>5</v>
      </c>
      <c r="AG120">
        <v>100</v>
      </c>
      <c r="AK120" t="s">
        <v>102</v>
      </c>
      <c r="AM120" t="s">
        <v>102</v>
      </c>
      <c r="AN120" t="s">
        <v>102</v>
      </c>
      <c r="AO120" t="s">
        <v>102</v>
      </c>
      <c r="AP120" t="s">
        <v>117</v>
      </c>
      <c r="AQ120" t="s">
        <v>104</v>
      </c>
      <c r="AV120" t="s">
        <v>102</v>
      </c>
      <c r="AX120" t="s">
        <v>677</v>
      </c>
      <c r="AZ120" t="s">
        <v>163</v>
      </c>
      <c r="BB120" t="s">
        <v>678</v>
      </c>
      <c r="BF120" t="s">
        <v>718</v>
      </c>
      <c r="BG120" t="s">
        <v>102</v>
      </c>
      <c r="BH120" t="s">
        <v>102</v>
      </c>
      <c r="BI120" t="s">
        <v>102</v>
      </c>
      <c r="BK120" t="s">
        <v>107</v>
      </c>
      <c r="CA120" t="s">
        <v>719</v>
      </c>
      <c r="CB120" t="s">
        <v>677</v>
      </c>
      <c r="CL120" t="s">
        <v>102</v>
      </c>
      <c r="CM120" t="s">
        <v>102</v>
      </c>
      <c r="CO120" s="1">
        <v>41703</v>
      </c>
      <c r="CP120" s="1">
        <v>43634</v>
      </c>
    </row>
    <row r="121" spans="1:94" x14ac:dyDescent="0.25">
      <c r="A121" t="s">
        <v>720</v>
      </c>
      <c r="B121" t="str">
        <f xml:space="preserve"> "" &amp; 840254042919</f>
        <v>840254042919</v>
      </c>
      <c r="C121" t="s">
        <v>716</v>
      </c>
      <c r="D121" t="s">
        <v>717</v>
      </c>
      <c r="E121" t="s">
        <v>676</v>
      </c>
      <c r="F121" t="s">
        <v>710</v>
      </c>
      <c r="G121">
        <v>1</v>
      </c>
      <c r="H121">
        <v>1</v>
      </c>
      <c r="I121" t="s">
        <v>99</v>
      </c>
      <c r="J121" s="4">
        <v>335</v>
      </c>
      <c r="K121" s="4">
        <v>1005</v>
      </c>
      <c r="O121" t="s">
        <v>100</v>
      </c>
      <c r="P121" s="4">
        <v>704.95</v>
      </c>
      <c r="S121">
        <v>22.5</v>
      </c>
      <c r="U121">
        <v>27</v>
      </c>
      <c r="W121">
        <v>18.22</v>
      </c>
      <c r="X121">
        <v>1</v>
      </c>
      <c r="Y121">
        <v>10.25</v>
      </c>
      <c r="Z121">
        <v>32</v>
      </c>
      <c r="AA121">
        <v>32</v>
      </c>
      <c r="AB121">
        <v>6.0739999999999998</v>
      </c>
      <c r="AC121">
        <v>26.44</v>
      </c>
      <c r="AE121">
        <v>5</v>
      </c>
      <c r="AG121">
        <v>100</v>
      </c>
      <c r="AK121" t="s">
        <v>102</v>
      </c>
      <c r="AM121" t="s">
        <v>102</v>
      </c>
      <c r="AN121" t="s">
        <v>102</v>
      </c>
      <c r="AO121" t="s">
        <v>102</v>
      </c>
      <c r="AP121" t="s">
        <v>117</v>
      </c>
      <c r="AQ121" t="s">
        <v>104</v>
      </c>
      <c r="AV121" t="s">
        <v>102</v>
      </c>
      <c r="AX121" t="s">
        <v>682</v>
      </c>
      <c r="AZ121" t="s">
        <v>163</v>
      </c>
      <c r="BB121" t="s">
        <v>678</v>
      </c>
      <c r="BF121" t="s">
        <v>721</v>
      </c>
      <c r="BG121" t="s">
        <v>102</v>
      </c>
      <c r="BH121" t="s">
        <v>102</v>
      </c>
      <c r="BI121" t="s">
        <v>102</v>
      </c>
      <c r="BK121" t="s">
        <v>107</v>
      </c>
      <c r="CA121" t="s">
        <v>719</v>
      </c>
      <c r="CB121" t="s">
        <v>682</v>
      </c>
      <c r="CL121" t="s">
        <v>102</v>
      </c>
      <c r="CM121" t="s">
        <v>102</v>
      </c>
      <c r="CO121" s="1">
        <v>41703</v>
      </c>
      <c r="CP121" s="1">
        <v>43634</v>
      </c>
    </row>
    <row r="122" spans="1:94" x14ac:dyDescent="0.25">
      <c r="A122" t="s">
        <v>722</v>
      </c>
      <c r="B122" t="str">
        <f xml:space="preserve"> "" &amp; 840254033887</f>
        <v>840254033887</v>
      </c>
      <c r="C122" t="s">
        <v>370</v>
      </c>
      <c r="D122" t="s">
        <v>370</v>
      </c>
      <c r="F122" t="s">
        <v>371</v>
      </c>
      <c r="G122">
        <v>1</v>
      </c>
      <c r="H122">
        <v>1</v>
      </c>
      <c r="I122" t="s">
        <v>99</v>
      </c>
      <c r="J122" s="4">
        <v>3995</v>
      </c>
      <c r="K122" s="4">
        <v>11985</v>
      </c>
      <c r="O122" t="s">
        <v>100</v>
      </c>
      <c r="P122" s="4">
        <v>8389.9500000000007</v>
      </c>
      <c r="S122">
        <v>45.5</v>
      </c>
      <c r="U122">
        <v>22</v>
      </c>
      <c r="W122">
        <v>61.73</v>
      </c>
      <c r="X122">
        <v>1</v>
      </c>
      <c r="Y122">
        <v>51.97</v>
      </c>
      <c r="Z122">
        <v>28.35</v>
      </c>
      <c r="AA122">
        <v>28.35</v>
      </c>
      <c r="AB122">
        <v>24.17</v>
      </c>
      <c r="AC122">
        <v>79.37</v>
      </c>
      <c r="AE122">
        <v>9</v>
      </c>
      <c r="AG122">
        <v>40</v>
      </c>
      <c r="AK122" t="s">
        <v>102</v>
      </c>
      <c r="AM122" t="s">
        <v>102</v>
      </c>
      <c r="AN122" t="s">
        <v>102</v>
      </c>
      <c r="AO122" t="s">
        <v>100</v>
      </c>
      <c r="AP122" t="s">
        <v>103</v>
      </c>
      <c r="AQ122" t="s">
        <v>104</v>
      </c>
      <c r="AV122" t="s">
        <v>102</v>
      </c>
      <c r="AX122" t="s">
        <v>297</v>
      </c>
      <c r="AZ122" t="s">
        <v>163</v>
      </c>
      <c r="BF122" t="s">
        <v>723</v>
      </c>
      <c r="BG122" t="s">
        <v>102</v>
      </c>
      <c r="BH122" t="s">
        <v>102</v>
      </c>
      <c r="BI122" t="s">
        <v>102</v>
      </c>
      <c r="BK122" t="s">
        <v>107</v>
      </c>
      <c r="CA122" t="s">
        <v>722</v>
      </c>
      <c r="CB122" t="s">
        <v>297</v>
      </c>
      <c r="CL122" t="s">
        <v>102</v>
      </c>
      <c r="CM122" t="s">
        <v>102</v>
      </c>
      <c r="CN122" t="s">
        <v>724</v>
      </c>
      <c r="CO122" s="1">
        <v>43577</v>
      </c>
      <c r="CP122" s="1">
        <v>43634</v>
      </c>
    </row>
    <row r="123" spans="1:94" x14ac:dyDescent="0.25">
      <c r="A123" t="s">
        <v>725</v>
      </c>
      <c r="B123" t="str">
        <f xml:space="preserve"> "" &amp; 840254042315</f>
        <v>840254042315</v>
      </c>
      <c r="C123" t="s">
        <v>370</v>
      </c>
      <c r="D123" t="s">
        <v>377</v>
      </c>
      <c r="F123" t="s">
        <v>371</v>
      </c>
      <c r="G123">
        <v>1</v>
      </c>
      <c r="H123">
        <v>1</v>
      </c>
      <c r="I123" t="s">
        <v>99</v>
      </c>
      <c r="J123" s="4">
        <v>4795</v>
      </c>
      <c r="K123" s="4">
        <v>14385</v>
      </c>
      <c r="O123" t="s">
        <v>100</v>
      </c>
      <c r="P123" s="4">
        <v>10069.950000000001</v>
      </c>
      <c r="S123">
        <v>45</v>
      </c>
      <c r="T123">
        <v>26.5</v>
      </c>
      <c r="U123">
        <v>26.5</v>
      </c>
      <c r="W123">
        <v>86</v>
      </c>
      <c r="X123">
        <v>1</v>
      </c>
      <c r="Y123">
        <v>52</v>
      </c>
      <c r="Z123">
        <v>28.3</v>
      </c>
      <c r="AA123">
        <v>28.3</v>
      </c>
      <c r="AB123">
        <v>24.100999999999999</v>
      </c>
      <c r="AC123">
        <v>140.80000000000001</v>
      </c>
      <c r="AE123">
        <v>9</v>
      </c>
      <c r="AF123" t="s">
        <v>101</v>
      </c>
      <c r="AG123">
        <v>60</v>
      </c>
      <c r="AK123" t="s">
        <v>102</v>
      </c>
      <c r="AM123" t="s">
        <v>102</v>
      </c>
      <c r="AN123" t="s">
        <v>102</v>
      </c>
      <c r="AO123" t="s">
        <v>102</v>
      </c>
      <c r="AP123" t="s">
        <v>103</v>
      </c>
      <c r="AQ123" t="s">
        <v>104</v>
      </c>
      <c r="AV123" t="s">
        <v>102</v>
      </c>
      <c r="AZ123" t="s">
        <v>163</v>
      </c>
      <c r="BB123" t="s">
        <v>54</v>
      </c>
      <c r="BC123" t="s">
        <v>726</v>
      </c>
      <c r="BF123" t="s">
        <v>727</v>
      </c>
      <c r="BG123" t="s">
        <v>102</v>
      </c>
      <c r="BH123" t="s">
        <v>102</v>
      </c>
      <c r="BI123" t="s">
        <v>102</v>
      </c>
      <c r="BR123">
        <v>2.75</v>
      </c>
      <c r="BT123">
        <v>8</v>
      </c>
      <c r="CA123" t="s">
        <v>725</v>
      </c>
      <c r="CL123" t="s">
        <v>102</v>
      </c>
      <c r="CM123" t="s">
        <v>102</v>
      </c>
      <c r="CN123" t="s">
        <v>375</v>
      </c>
      <c r="CO123" s="1">
        <v>41703</v>
      </c>
      <c r="CP123" s="1">
        <v>43634</v>
      </c>
    </row>
    <row r="124" spans="1:94" x14ac:dyDescent="0.25">
      <c r="A124" t="s">
        <v>732</v>
      </c>
      <c r="B124" t="str">
        <f xml:space="preserve"> "" &amp; 840254027497</f>
        <v>840254027497</v>
      </c>
      <c r="C124" t="s">
        <v>728</v>
      </c>
      <c r="D124" t="s">
        <v>733</v>
      </c>
      <c r="E124" t="s">
        <v>326</v>
      </c>
      <c r="F124" t="s">
        <v>730</v>
      </c>
      <c r="G124">
        <v>1</v>
      </c>
      <c r="H124">
        <v>1</v>
      </c>
      <c r="I124" t="s">
        <v>99</v>
      </c>
      <c r="J124" s="4">
        <v>99</v>
      </c>
      <c r="K124" s="4">
        <v>297</v>
      </c>
      <c r="O124" t="s">
        <v>100</v>
      </c>
      <c r="P124" s="4">
        <v>209.95</v>
      </c>
      <c r="S124">
        <v>1</v>
      </c>
      <c r="T124">
        <v>24.5</v>
      </c>
      <c r="U124">
        <v>24</v>
      </c>
      <c r="W124">
        <v>2.4</v>
      </c>
      <c r="X124">
        <v>1</v>
      </c>
      <c r="Y124">
        <v>24.5</v>
      </c>
      <c r="Z124">
        <v>24.5</v>
      </c>
      <c r="AA124">
        <v>2</v>
      </c>
      <c r="AB124">
        <v>0.69499999999999995</v>
      </c>
      <c r="AC124">
        <v>3.99</v>
      </c>
      <c r="AK124" t="s">
        <v>102</v>
      </c>
      <c r="AM124" t="s">
        <v>102</v>
      </c>
      <c r="AN124" t="s">
        <v>102</v>
      </c>
      <c r="AO124" t="s">
        <v>102</v>
      </c>
      <c r="AP124" t="s">
        <v>117</v>
      </c>
      <c r="AQ124" t="s">
        <v>104</v>
      </c>
      <c r="AV124" t="s">
        <v>102</v>
      </c>
      <c r="AX124" t="s">
        <v>327</v>
      </c>
      <c r="AZ124" t="s">
        <v>163</v>
      </c>
      <c r="BF124" t="s">
        <v>734</v>
      </c>
      <c r="BG124" t="s">
        <v>102</v>
      </c>
      <c r="BH124" t="s">
        <v>102</v>
      </c>
      <c r="BI124" t="s">
        <v>102</v>
      </c>
      <c r="BK124" t="s">
        <v>107</v>
      </c>
      <c r="BT124">
        <v>4.4400000000000004</v>
      </c>
      <c r="CA124" t="s">
        <v>735</v>
      </c>
      <c r="CB124" t="s">
        <v>327</v>
      </c>
      <c r="CL124" t="s">
        <v>102</v>
      </c>
      <c r="CM124" t="s">
        <v>102</v>
      </c>
      <c r="CN124" t="s">
        <v>736</v>
      </c>
      <c r="CO124" s="1">
        <v>38622</v>
      </c>
      <c r="CP124" s="1">
        <v>43634</v>
      </c>
    </row>
    <row r="125" spans="1:94" x14ac:dyDescent="0.25">
      <c r="A125" t="s">
        <v>739</v>
      </c>
      <c r="B125" t="str">
        <f xml:space="preserve"> "" &amp; 840254013025</f>
        <v>840254013025</v>
      </c>
      <c r="C125" t="s">
        <v>740</v>
      </c>
      <c r="D125" t="s">
        <v>740</v>
      </c>
      <c r="F125" t="s">
        <v>98</v>
      </c>
      <c r="G125">
        <v>1</v>
      </c>
      <c r="H125">
        <v>1</v>
      </c>
      <c r="I125" t="s">
        <v>99</v>
      </c>
      <c r="J125" s="4">
        <v>895</v>
      </c>
      <c r="K125" s="4">
        <v>2685</v>
      </c>
      <c r="O125" t="s">
        <v>100</v>
      </c>
      <c r="P125" s="4">
        <v>1879.95</v>
      </c>
      <c r="S125">
        <v>32</v>
      </c>
      <c r="T125">
        <v>21</v>
      </c>
      <c r="U125">
        <v>21</v>
      </c>
      <c r="W125">
        <v>25</v>
      </c>
      <c r="X125">
        <v>1</v>
      </c>
      <c r="Y125">
        <v>29</v>
      </c>
      <c r="Z125">
        <v>24.5</v>
      </c>
      <c r="AA125">
        <v>24.5</v>
      </c>
      <c r="AB125">
        <v>10.074</v>
      </c>
      <c r="AC125">
        <v>49.5</v>
      </c>
      <c r="AE125">
        <v>6</v>
      </c>
      <c r="AF125" t="s">
        <v>101</v>
      </c>
      <c r="AG125">
        <v>60</v>
      </c>
      <c r="AK125" t="s">
        <v>102</v>
      </c>
      <c r="AM125" t="s">
        <v>102</v>
      </c>
      <c r="AN125" t="s">
        <v>102</v>
      </c>
      <c r="AO125" t="s">
        <v>102</v>
      </c>
      <c r="AP125" t="s">
        <v>103</v>
      </c>
      <c r="AQ125" t="s">
        <v>104</v>
      </c>
      <c r="AV125" t="s">
        <v>102</v>
      </c>
      <c r="AX125" t="s">
        <v>741</v>
      </c>
      <c r="AZ125" t="s">
        <v>163</v>
      </c>
      <c r="BF125" t="s">
        <v>742</v>
      </c>
      <c r="BG125" t="s">
        <v>102</v>
      </c>
      <c r="BH125" t="s">
        <v>102</v>
      </c>
      <c r="BI125" t="s">
        <v>102</v>
      </c>
      <c r="BK125" t="s">
        <v>107</v>
      </c>
      <c r="CA125" t="s">
        <v>743</v>
      </c>
      <c r="CB125" t="s">
        <v>741</v>
      </c>
      <c r="CL125" t="s">
        <v>102</v>
      </c>
      <c r="CM125" t="s">
        <v>102</v>
      </c>
      <c r="CN125" t="s">
        <v>294</v>
      </c>
      <c r="CO125" s="1">
        <v>41760</v>
      </c>
      <c r="CP125" s="1">
        <v>43634</v>
      </c>
    </row>
    <row r="126" spans="1:94" x14ac:dyDescent="0.25">
      <c r="A126" t="s">
        <v>747</v>
      </c>
      <c r="B126" t="str">
        <f xml:space="preserve"> "" &amp; 840254031920</f>
        <v>840254031920</v>
      </c>
      <c r="C126" t="s">
        <v>178</v>
      </c>
      <c r="D126" t="s">
        <v>748</v>
      </c>
      <c r="E126" t="s">
        <v>745</v>
      </c>
      <c r="F126" t="s">
        <v>179</v>
      </c>
      <c r="G126">
        <v>1</v>
      </c>
      <c r="H126">
        <v>1</v>
      </c>
      <c r="I126" t="s">
        <v>99</v>
      </c>
      <c r="J126" s="4">
        <v>150</v>
      </c>
      <c r="K126" s="4">
        <v>450</v>
      </c>
      <c r="O126" t="s">
        <v>100</v>
      </c>
      <c r="P126" s="4">
        <v>314.95</v>
      </c>
      <c r="S126">
        <v>14.5</v>
      </c>
      <c r="U126">
        <v>7.25</v>
      </c>
      <c r="V126">
        <v>4</v>
      </c>
      <c r="W126">
        <v>5.95</v>
      </c>
      <c r="X126">
        <v>1</v>
      </c>
      <c r="Y126">
        <v>9.5</v>
      </c>
      <c r="Z126">
        <v>17</v>
      </c>
      <c r="AA126">
        <v>9</v>
      </c>
      <c r="AB126">
        <v>0.84099999999999997</v>
      </c>
      <c r="AC126">
        <v>7.39</v>
      </c>
      <c r="AE126">
        <v>2</v>
      </c>
      <c r="AF126" t="s">
        <v>333</v>
      </c>
      <c r="AG126">
        <v>100</v>
      </c>
      <c r="AK126" t="s">
        <v>102</v>
      </c>
      <c r="AM126" t="s">
        <v>102</v>
      </c>
      <c r="AN126" t="s">
        <v>100</v>
      </c>
      <c r="AO126" t="s">
        <v>102</v>
      </c>
      <c r="AP126" t="s">
        <v>117</v>
      </c>
      <c r="AQ126" t="s">
        <v>104</v>
      </c>
      <c r="AV126" t="s">
        <v>102</v>
      </c>
      <c r="AX126" t="s">
        <v>746</v>
      </c>
      <c r="AZ126" t="s">
        <v>163</v>
      </c>
      <c r="BC126" t="s">
        <v>749</v>
      </c>
      <c r="BF126" t="s">
        <v>750</v>
      </c>
      <c r="BG126" t="s">
        <v>102</v>
      </c>
      <c r="BH126" t="s">
        <v>100</v>
      </c>
      <c r="BI126" t="s">
        <v>102</v>
      </c>
      <c r="BK126" t="s">
        <v>191</v>
      </c>
      <c r="BL126" t="s">
        <v>547</v>
      </c>
      <c r="BR126">
        <v>14.5</v>
      </c>
      <c r="BT126">
        <v>6.75</v>
      </c>
      <c r="CA126" t="s">
        <v>751</v>
      </c>
      <c r="CB126" t="s">
        <v>746</v>
      </c>
      <c r="CL126" t="s">
        <v>102</v>
      </c>
      <c r="CM126" t="s">
        <v>102</v>
      </c>
      <c r="CN126" t="s">
        <v>229</v>
      </c>
      <c r="CO126" s="1">
        <v>40620</v>
      </c>
      <c r="CP126" s="1">
        <v>43634</v>
      </c>
    </row>
    <row r="127" spans="1:94" x14ac:dyDescent="0.25">
      <c r="A127" t="s">
        <v>752</v>
      </c>
      <c r="B127" t="str">
        <f xml:space="preserve"> "" &amp; 840254032477</f>
        <v>840254032477</v>
      </c>
      <c r="C127" t="s">
        <v>753</v>
      </c>
      <c r="D127" t="s">
        <v>754</v>
      </c>
      <c r="E127" t="s">
        <v>729</v>
      </c>
      <c r="F127" t="s">
        <v>98</v>
      </c>
      <c r="G127">
        <v>1</v>
      </c>
      <c r="H127">
        <v>1</v>
      </c>
      <c r="I127" t="s">
        <v>99</v>
      </c>
      <c r="J127" s="4">
        <v>1995</v>
      </c>
      <c r="K127" s="4">
        <v>5985</v>
      </c>
      <c r="O127" t="s">
        <v>100</v>
      </c>
      <c r="P127" s="4">
        <v>4189.95</v>
      </c>
      <c r="S127">
        <v>64</v>
      </c>
      <c r="U127">
        <v>57.75</v>
      </c>
      <c r="W127">
        <v>106.7</v>
      </c>
      <c r="X127">
        <v>1</v>
      </c>
      <c r="Y127">
        <v>48.5</v>
      </c>
      <c r="Z127">
        <v>58</v>
      </c>
      <c r="AA127">
        <v>58</v>
      </c>
      <c r="AB127">
        <v>94.418000000000006</v>
      </c>
      <c r="AC127">
        <v>179.24</v>
      </c>
      <c r="AE127">
        <v>20</v>
      </c>
      <c r="AF127" t="s">
        <v>176</v>
      </c>
      <c r="AG127">
        <v>60</v>
      </c>
      <c r="AH127">
        <v>2</v>
      </c>
      <c r="AI127" t="s">
        <v>176</v>
      </c>
      <c r="AJ127">
        <v>7</v>
      </c>
      <c r="AK127" t="s">
        <v>102</v>
      </c>
      <c r="AL127">
        <v>22</v>
      </c>
      <c r="AM127" t="s">
        <v>102</v>
      </c>
      <c r="AN127" t="s">
        <v>102</v>
      </c>
      <c r="AO127" t="s">
        <v>100</v>
      </c>
      <c r="AP127" t="s">
        <v>103</v>
      </c>
      <c r="AQ127" t="s">
        <v>104</v>
      </c>
      <c r="AV127" t="s">
        <v>102</v>
      </c>
      <c r="AX127" t="s">
        <v>731</v>
      </c>
      <c r="AZ127" t="s">
        <v>163</v>
      </c>
      <c r="BF127" t="s">
        <v>755</v>
      </c>
      <c r="BG127" t="s">
        <v>102</v>
      </c>
      <c r="BH127" t="s">
        <v>102</v>
      </c>
      <c r="BI127" t="s">
        <v>102</v>
      </c>
      <c r="BK127" t="s">
        <v>107</v>
      </c>
      <c r="BR127">
        <v>2.25</v>
      </c>
      <c r="BT127">
        <v>5.63</v>
      </c>
      <c r="CA127" t="s">
        <v>756</v>
      </c>
      <c r="CB127" t="s">
        <v>731</v>
      </c>
      <c r="CL127" t="s">
        <v>102</v>
      </c>
      <c r="CM127" t="s">
        <v>102</v>
      </c>
      <c r="CN127" t="s">
        <v>757</v>
      </c>
      <c r="CO127" s="1">
        <v>39419</v>
      </c>
      <c r="CP127" s="1">
        <v>43634</v>
      </c>
    </row>
    <row r="128" spans="1:94" x14ac:dyDescent="0.25">
      <c r="A128" t="s">
        <v>758</v>
      </c>
      <c r="B128" t="str">
        <f xml:space="preserve"> "" &amp; 840254032484</f>
        <v>840254032484</v>
      </c>
      <c r="C128" t="s">
        <v>708</v>
      </c>
      <c r="D128" t="s">
        <v>759</v>
      </c>
      <c r="E128" t="s">
        <v>729</v>
      </c>
      <c r="F128" t="s">
        <v>710</v>
      </c>
      <c r="G128">
        <v>1</v>
      </c>
      <c r="H128">
        <v>1</v>
      </c>
      <c r="I128" t="s">
        <v>99</v>
      </c>
      <c r="J128" s="4">
        <v>365</v>
      </c>
      <c r="K128" s="4">
        <v>1095</v>
      </c>
      <c r="O128" t="s">
        <v>100</v>
      </c>
      <c r="P128" s="4">
        <v>769.95</v>
      </c>
      <c r="S128">
        <v>19</v>
      </c>
      <c r="U128">
        <v>26.5</v>
      </c>
      <c r="W128">
        <v>17.97</v>
      </c>
      <c r="X128">
        <v>1</v>
      </c>
      <c r="Y128">
        <v>11</v>
      </c>
      <c r="Z128">
        <v>26</v>
      </c>
      <c r="AA128">
        <v>25</v>
      </c>
      <c r="AB128">
        <v>4.1379999999999999</v>
      </c>
      <c r="AC128">
        <v>26.12</v>
      </c>
      <c r="AE128">
        <v>3</v>
      </c>
      <c r="AF128" t="s">
        <v>333</v>
      </c>
      <c r="AG128">
        <v>100</v>
      </c>
      <c r="AK128" t="s">
        <v>102</v>
      </c>
      <c r="AM128" t="s">
        <v>102</v>
      </c>
      <c r="AN128" t="s">
        <v>102</v>
      </c>
      <c r="AO128" t="s">
        <v>100</v>
      </c>
      <c r="AP128" t="s">
        <v>117</v>
      </c>
      <c r="AQ128" t="s">
        <v>104</v>
      </c>
      <c r="AV128" t="s">
        <v>102</v>
      </c>
      <c r="AX128" t="s">
        <v>731</v>
      </c>
      <c r="AZ128" t="s">
        <v>163</v>
      </c>
      <c r="BB128" t="s">
        <v>118</v>
      </c>
      <c r="BC128" t="s">
        <v>760</v>
      </c>
      <c r="BF128" t="s">
        <v>761</v>
      </c>
      <c r="BG128" t="s">
        <v>102</v>
      </c>
      <c r="BH128" t="s">
        <v>102</v>
      </c>
      <c r="BI128" t="s">
        <v>102</v>
      </c>
      <c r="BK128" t="s">
        <v>191</v>
      </c>
      <c r="BR128">
        <v>2.25</v>
      </c>
      <c r="BT128">
        <v>5.63</v>
      </c>
      <c r="CA128" t="s">
        <v>762</v>
      </c>
      <c r="CB128" t="s">
        <v>731</v>
      </c>
      <c r="CL128" t="s">
        <v>100</v>
      </c>
      <c r="CM128" t="s">
        <v>102</v>
      </c>
      <c r="CN128" t="s">
        <v>757</v>
      </c>
      <c r="CO128" s="1">
        <v>39253</v>
      </c>
      <c r="CP128" s="1">
        <v>43634</v>
      </c>
    </row>
    <row r="129" spans="1:94" x14ac:dyDescent="0.25">
      <c r="A129" t="s">
        <v>763</v>
      </c>
      <c r="B129" t="str">
        <f xml:space="preserve"> "" &amp; 840254032507</f>
        <v>840254032507</v>
      </c>
      <c r="C129" t="s">
        <v>195</v>
      </c>
      <c r="D129" t="s">
        <v>764</v>
      </c>
      <c r="E129" t="s">
        <v>729</v>
      </c>
      <c r="F129" t="s">
        <v>186</v>
      </c>
      <c r="G129">
        <v>1</v>
      </c>
      <c r="H129">
        <v>1</v>
      </c>
      <c r="I129" t="s">
        <v>99</v>
      </c>
      <c r="J129" s="4">
        <v>90</v>
      </c>
      <c r="K129" s="4">
        <v>270</v>
      </c>
      <c r="O129" t="s">
        <v>100</v>
      </c>
      <c r="P129" s="4">
        <v>189.95</v>
      </c>
      <c r="S129">
        <v>12.5</v>
      </c>
      <c r="T129">
        <v>15.5</v>
      </c>
      <c r="U129">
        <v>5.25</v>
      </c>
      <c r="V129">
        <v>8</v>
      </c>
      <c r="W129">
        <v>3.33</v>
      </c>
      <c r="X129">
        <v>1</v>
      </c>
      <c r="Y129">
        <v>7.25</v>
      </c>
      <c r="Z129">
        <v>15.5</v>
      </c>
      <c r="AA129">
        <v>9.5</v>
      </c>
      <c r="AB129">
        <v>0.61799999999999999</v>
      </c>
      <c r="AC129">
        <v>4.63</v>
      </c>
      <c r="AE129">
        <v>1</v>
      </c>
      <c r="AF129" t="s">
        <v>333</v>
      </c>
      <c r="AG129">
        <v>100</v>
      </c>
      <c r="AK129" t="s">
        <v>102</v>
      </c>
      <c r="AL129">
        <v>1</v>
      </c>
      <c r="AM129" t="s">
        <v>102</v>
      </c>
      <c r="AN129" t="s">
        <v>102</v>
      </c>
      <c r="AO129" t="s">
        <v>100</v>
      </c>
      <c r="AP129" t="s">
        <v>117</v>
      </c>
      <c r="AQ129" t="s">
        <v>104</v>
      </c>
      <c r="AV129" t="s">
        <v>102</v>
      </c>
      <c r="AX129" t="s">
        <v>731</v>
      </c>
      <c r="AZ129" t="s">
        <v>163</v>
      </c>
      <c r="BB129" t="s">
        <v>118</v>
      </c>
      <c r="BC129" t="s">
        <v>760</v>
      </c>
      <c r="BF129" t="s">
        <v>765</v>
      </c>
      <c r="BG129" t="s">
        <v>102</v>
      </c>
      <c r="BH129" t="s">
        <v>102</v>
      </c>
      <c r="BI129" t="s">
        <v>102</v>
      </c>
      <c r="BK129" t="s">
        <v>191</v>
      </c>
      <c r="BL129" t="s">
        <v>180</v>
      </c>
      <c r="BT129">
        <v>4.38</v>
      </c>
      <c r="CA129" t="s">
        <v>766</v>
      </c>
      <c r="CB129" t="s">
        <v>731</v>
      </c>
      <c r="CL129" t="s">
        <v>100</v>
      </c>
      <c r="CM129" t="s">
        <v>102</v>
      </c>
      <c r="CN129" t="s">
        <v>767</v>
      </c>
      <c r="CO129" s="1">
        <v>39366</v>
      </c>
      <c r="CP129" s="1">
        <v>43634</v>
      </c>
    </row>
    <row r="130" spans="1:94" x14ac:dyDescent="0.25">
      <c r="A130" t="s">
        <v>768</v>
      </c>
      <c r="B130" t="str">
        <f xml:space="preserve"> "" &amp; 840254032514</f>
        <v>840254032514</v>
      </c>
      <c r="C130" t="s">
        <v>206</v>
      </c>
      <c r="D130" t="s">
        <v>769</v>
      </c>
      <c r="E130" t="s">
        <v>729</v>
      </c>
      <c r="F130" t="s">
        <v>186</v>
      </c>
      <c r="G130">
        <v>1</v>
      </c>
      <c r="H130">
        <v>1</v>
      </c>
      <c r="I130" t="s">
        <v>99</v>
      </c>
      <c r="J130" s="4">
        <v>130</v>
      </c>
      <c r="K130" s="4">
        <v>390</v>
      </c>
      <c r="O130" t="s">
        <v>100</v>
      </c>
      <c r="P130" s="4">
        <v>274.95</v>
      </c>
      <c r="S130">
        <v>13.25</v>
      </c>
      <c r="T130">
        <v>18.5</v>
      </c>
      <c r="U130">
        <v>16</v>
      </c>
      <c r="V130">
        <v>6.25</v>
      </c>
      <c r="W130">
        <v>5.42</v>
      </c>
      <c r="X130">
        <v>1</v>
      </c>
      <c r="Y130">
        <v>15.25</v>
      </c>
      <c r="Z130">
        <v>18.5</v>
      </c>
      <c r="AA130">
        <v>8.25</v>
      </c>
      <c r="AB130">
        <v>1.347</v>
      </c>
      <c r="AC130">
        <v>8.31</v>
      </c>
      <c r="AE130">
        <v>2</v>
      </c>
      <c r="AF130" t="s">
        <v>333</v>
      </c>
      <c r="AG130">
        <v>100</v>
      </c>
      <c r="AK130" t="s">
        <v>102</v>
      </c>
      <c r="AM130" t="s">
        <v>102</v>
      </c>
      <c r="AN130" t="s">
        <v>102</v>
      </c>
      <c r="AO130" t="s">
        <v>100</v>
      </c>
      <c r="AP130" t="s">
        <v>117</v>
      </c>
      <c r="AQ130" t="s">
        <v>104</v>
      </c>
      <c r="AV130" t="s">
        <v>102</v>
      </c>
      <c r="AX130" t="s">
        <v>731</v>
      </c>
      <c r="AZ130" t="s">
        <v>163</v>
      </c>
      <c r="BB130" t="s">
        <v>54</v>
      </c>
      <c r="BC130" t="s">
        <v>770</v>
      </c>
      <c r="BF130" t="s">
        <v>771</v>
      </c>
      <c r="BG130" t="s">
        <v>102</v>
      </c>
      <c r="BH130" t="s">
        <v>102</v>
      </c>
      <c r="BI130" t="s">
        <v>102</v>
      </c>
      <c r="BK130" t="s">
        <v>191</v>
      </c>
      <c r="BL130" t="s">
        <v>180</v>
      </c>
      <c r="BT130">
        <v>4.5</v>
      </c>
      <c r="CA130" t="s">
        <v>772</v>
      </c>
      <c r="CB130" t="s">
        <v>731</v>
      </c>
      <c r="CL130" t="s">
        <v>100</v>
      </c>
      <c r="CM130" t="s">
        <v>102</v>
      </c>
      <c r="CN130" t="s">
        <v>767</v>
      </c>
      <c r="CO130" s="1">
        <v>39366</v>
      </c>
      <c r="CP130" s="1">
        <v>43634</v>
      </c>
    </row>
    <row r="131" spans="1:94" x14ac:dyDescent="0.25">
      <c r="A131" t="s">
        <v>773</v>
      </c>
      <c r="B131" t="str">
        <f xml:space="preserve"> "" &amp; 840254032521</f>
        <v>840254032521</v>
      </c>
      <c r="C131" t="s">
        <v>211</v>
      </c>
      <c r="D131" t="s">
        <v>774</v>
      </c>
      <c r="E131" t="s">
        <v>729</v>
      </c>
      <c r="F131" t="s">
        <v>186</v>
      </c>
      <c r="G131">
        <v>1</v>
      </c>
      <c r="H131">
        <v>1</v>
      </c>
      <c r="I131" t="s">
        <v>99</v>
      </c>
      <c r="J131" s="4">
        <v>155</v>
      </c>
      <c r="K131" s="4">
        <v>465</v>
      </c>
      <c r="O131" t="s">
        <v>100</v>
      </c>
      <c r="P131" s="4">
        <v>329.95</v>
      </c>
      <c r="S131">
        <v>13.25</v>
      </c>
      <c r="U131">
        <v>22.5</v>
      </c>
      <c r="V131">
        <v>6.5</v>
      </c>
      <c r="W131">
        <v>6.72</v>
      </c>
      <c r="X131">
        <v>1</v>
      </c>
      <c r="Y131">
        <v>15.25</v>
      </c>
      <c r="Z131">
        <v>25.5</v>
      </c>
      <c r="AA131">
        <v>8.25</v>
      </c>
      <c r="AB131">
        <v>1.857</v>
      </c>
      <c r="AC131">
        <v>10.36</v>
      </c>
      <c r="AE131">
        <v>3</v>
      </c>
      <c r="AF131" t="s">
        <v>333</v>
      </c>
      <c r="AG131">
        <v>100</v>
      </c>
      <c r="AK131" t="s">
        <v>102</v>
      </c>
      <c r="AM131" t="s">
        <v>102</v>
      </c>
      <c r="AN131" t="s">
        <v>102</v>
      </c>
      <c r="AO131" t="s">
        <v>100</v>
      </c>
      <c r="AP131" t="s">
        <v>117</v>
      </c>
      <c r="AQ131" t="s">
        <v>104</v>
      </c>
      <c r="AV131" t="s">
        <v>102</v>
      </c>
      <c r="AX131" t="s">
        <v>731</v>
      </c>
      <c r="AZ131" t="s">
        <v>163</v>
      </c>
      <c r="BB131" t="s">
        <v>54</v>
      </c>
      <c r="BC131" t="s">
        <v>770</v>
      </c>
      <c r="BF131" t="s">
        <v>775</v>
      </c>
      <c r="BG131" t="s">
        <v>102</v>
      </c>
      <c r="BH131" t="s">
        <v>102</v>
      </c>
      <c r="BI131" t="s">
        <v>102</v>
      </c>
      <c r="BK131" t="s">
        <v>191</v>
      </c>
      <c r="BL131" t="s">
        <v>180</v>
      </c>
      <c r="BT131">
        <v>4.5</v>
      </c>
      <c r="CA131" t="s">
        <v>776</v>
      </c>
      <c r="CB131" t="s">
        <v>731</v>
      </c>
      <c r="CL131" t="s">
        <v>100</v>
      </c>
      <c r="CM131" t="s">
        <v>102</v>
      </c>
      <c r="CN131" t="s">
        <v>767</v>
      </c>
      <c r="CO131" s="1">
        <v>39366</v>
      </c>
      <c r="CP131" s="1">
        <v>43634</v>
      </c>
    </row>
    <row r="132" spans="1:94" x14ac:dyDescent="0.25">
      <c r="A132" t="s">
        <v>777</v>
      </c>
      <c r="B132" t="str">
        <f xml:space="preserve"> "" &amp; 840254032538</f>
        <v>840254032538</v>
      </c>
      <c r="C132" t="s">
        <v>217</v>
      </c>
      <c r="D132" t="s">
        <v>778</v>
      </c>
      <c r="E132" t="s">
        <v>729</v>
      </c>
      <c r="F132" t="s">
        <v>186</v>
      </c>
      <c r="G132">
        <v>1</v>
      </c>
      <c r="H132">
        <v>1</v>
      </c>
      <c r="I132" t="s">
        <v>99</v>
      </c>
      <c r="J132" s="4">
        <v>185</v>
      </c>
      <c r="K132" s="4">
        <v>555</v>
      </c>
      <c r="O132" t="s">
        <v>100</v>
      </c>
      <c r="P132" s="4">
        <v>389.95</v>
      </c>
      <c r="S132">
        <v>13.25</v>
      </c>
      <c r="U132">
        <v>32.5</v>
      </c>
      <c r="V132">
        <v>6.5</v>
      </c>
      <c r="W132">
        <v>8.27</v>
      </c>
      <c r="X132">
        <v>1</v>
      </c>
      <c r="Y132">
        <v>10.25</v>
      </c>
      <c r="Z132">
        <v>35</v>
      </c>
      <c r="AA132">
        <v>11</v>
      </c>
      <c r="AB132">
        <v>2.2839999999999998</v>
      </c>
      <c r="AC132">
        <v>12.46</v>
      </c>
      <c r="AE132">
        <v>4</v>
      </c>
      <c r="AF132" t="s">
        <v>333</v>
      </c>
      <c r="AG132">
        <v>100</v>
      </c>
      <c r="AK132" t="s">
        <v>102</v>
      </c>
      <c r="AM132" t="s">
        <v>102</v>
      </c>
      <c r="AN132" t="s">
        <v>102</v>
      </c>
      <c r="AO132" t="s">
        <v>100</v>
      </c>
      <c r="AP132" t="s">
        <v>117</v>
      </c>
      <c r="AQ132" t="s">
        <v>104</v>
      </c>
      <c r="AV132" t="s">
        <v>102</v>
      </c>
      <c r="AX132" t="s">
        <v>731</v>
      </c>
      <c r="AZ132" t="s">
        <v>163</v>
      </c>
      <c r="BB132" t="s">
        <v>54</v>
      </c>
      <c r="BC132" t="s">
        <v>770</v>
      </c>
      <c r="BF132" t="s">
        <v>779</v>
      </c>
      <c r="BG132" t="s">
        <v>102</v>
      </c>
      <c r="BH132" t="s">
        <v>102</v>
      </c>
      <c r="BI132" t="s">
        <v>102</v>
      </c>
      <c r="BK132" t="s">
        <v>191</v>
      </c>
      <c r="BL132" t="s">
        <v>180</v>
      </c>
      <c r="BT132">
        <v>4.5</v>
      </c>
      <c r="CA132" t="s">
        <v>780</v>
      </c>
      <c r="CB132" t="s">
        <v>731</v>
      </c>
      <c r="CL132" t="s">
        <v>102</v>
      </c>
      <c r="CM132" t="s">
        <v>102</v>
      </c>
      <c r="CN132" t="s">
        <v>767</v>
      </c>
      <c r="CO132" s="1">
        <v>39366</v>
      </c>
      <c r="CP132" s="1">
        <v>43634</v>
      </c>
    </row>
    <row r="133" spans="1:94" x14ac:dyDescent="0.25">
      <c r="A133" t="s">
        <v>781</v>
      </c>
      <c r="B133" t="str">
        <f xml:space="preserve"> "" &amp; 840254032552</f>
        <v>840254032552</v>
      </c>
      <c r="C133" t="s">
        <v>290</v>
      </c>
      <c r="D133" t="s">
        <v>782</v>
      </c>
      <c r="E133" t="s">
        <v>729</v>
      </c>
      <c r="F133" t="s">
        <v>179</v>
      </c>
      <c r="G133">
        <v>1</v>
      </c>
      <c r="H133">
        <v>1</v>
      </c>
      <c r="I133" t="s">
        <v>99</v>
      </c>
      <c r="J133" s="4">
        <v>215</v>
      </c>
      <c r="K133" s="4">
        <v>645</v>
      </c>
      <c r="O133" t="s">
        <v>100</v>
      </c>
      <c r="P133" s="4">
        <v>454.95</v>
      </c>
      <c r="S133">
        <v>28.25</v>
      </c>
      <c r="U133">
        <v>10.5</v>
      </c>
      <c r="V133">
        <v>11.5</v>
      </c>
      <c r="W133">
        <v>8.49</v>
      </c>
      <c r="X133">
        <v>1</v>
      </c>
      <c r="Y133">
        <v>10</v>
      </c>
      <c r="Z133">
        <v>26</v>
      </c>
      <c r="AA133">
        <v>13</v>
      </c>
      <c r="AB133">
        <v>1.956</v>
      </c>
      <c r="AC133">
        <v>12.79</v>
      </c>
      <c r="AE133">
        <v>1</v>
      </c>
      <c r="AF133" t="s">
        <v>333</v>
      </c>
      <c r="AG133">
        <v>100</v>
      </c>
      <c r="AK133" t="s">
        <v>102</v>
      </c>
      <c r="AL133">
        <v>1</v>
      </c>
      <c r="AM133" t="s">
        <v>102</v>
      </c>
      <c r="AN133" t="s">
        <v>102</v>
      </c>
      <c r="AO133" t="s">
        <v>100</v>
      </c>
      <c r="AP133" t="s">
        <v>117</v>
      </c>
      <c r="AQ133" t="s">
        <v>104</v>
      </c>
      <c r="AV133" t="s">
        <v>102</v>
      </c>
      <c r="AX133" t="s">
        <v>731</v>
      </c>
      <c r="AZ133" t="s">
        <v>163</v>
      </c>
      <c r="BB133" t="s">
        <v>54</v>
      </c>
      <c r="BC133" t="s">
        <v>770</v>
      </c>
      <c r="BF133" t="s">
        <v>783</v>
      </c>
      <c r="BG133" t="s">
        <v>102</v>
      </c>
      <c r="BH133" t="s">
        <v>102</v>
      </c>
      <c r="BI133" t="s">
        <v>102</v>
      </c>
      <c r="BK133" t="s">
        <v>191</v>
      </c>
      <c r="BL133" t="s">
        <v>180</v>
      </c>
      <c r="CA133" t="s">
        <v>784</v>
      </c>
      <c r="CB133" t="s">
        <v>731</v>
      </c>
      <c r="CL133" t="s">
        <v>100</v>
      </c>
      <c r="CM133" t="s">
        <v>102</v>
      </c>
      <c r="CN133" t="s">
        <v>757</v>
      </c>
      <c r="CO133" s="1">
        <v>39350</v>
      </c>
      <c r="CP133" s="1">
        <v>43634</v>
      </c>
    </row>
    <row r="134" spans="1:94" x14ac:dyDescent="0.25">
      <c r="A134" t="s">
        <v>785</v>
      </c>
      <c r="B134" t="str">
        <f xml:space="preserve"> "" &amp; 840254033160</f>
        <v>840254033160</v>
      </c>
      <c r="C134" t="s">
        <v>111</v>
      </c>
      <c r="D134" t="s">
        <v>786</v>
      </c>
      <c r="E134" t="s">
        <v>729</v>
      </c>
      <c r="F134" t="s">
        <v>98</v>
      </c>
      <c r="G134">
        <v>1</v>
      </c>
      <c r="H134">
        <v>1</v>
      </c>
      <c r="I134" t="s">
        <v>99</v>
      </c>
      <c r="J134" s="4">
        <v>495</v>
      </c>
      <c r="K134" s="4">
        <v>1485</v>
      </c>
      <c r="O134" t="s">
        <v>100</v>
      </c>
      <c r="P134" s="4">
        <v>1039.95</v>
      </c>
      <c r="S134">
        <v>36.25</v>
      </c>
      <c r="U134">
        <v>30</v>
      </c>
      <c r="W134">
        <v>32.72</v>
      </c>
      <c r="X134">
        <v>1</v>
      </c>
      <c r="Y134">
        <v>18</v>
      </c>
      <c r="Z134">
        <v>33</v>
      </c>
      <c r="AA134">
        <v>33</v>
      </c>
      <c r="AB134">
        <v>11.343999999999999</v>
      </c>
      <c r="AC134">
        <v>47.55</v>
      </c>
      <c r="AE134">
        <v>6</v>
      </c>
      <c r="AF134" t="s">
        <v>176</v>
      </c>
      <c r="AG134">
        <v>60</v>
      </c>
      <c r="AH134">
        <v>2</v>
      </c>
      <c r="AI134" t="s">
        <v>176</v>
      </c>
      <c r="AJ134">
        <v>25</v>
      </c>
      <c r="AK134" t="s">
        <v>102</v>
      </c>
      <c r="AL134">
        <v>6</v>
      </c>
      <c r="AM134" t="s">
        <v>102</v>
      </c>
      <c r="AN134" t="s">
        <v>102</v>
      </c>
      <c r="AO134" t="s">
        <v>100</v>
      </c>
      <c r="AP134" t="s">
        <v>103</v>
      </c>
      <c r="AQ134" t="s">
        <v>104</v>
      </c>
      <c r="AV134" t="s">
        <v>102</v>
      </c>
      <c r="AX134" t="s">
        <v>731</v>
      </c>
      <c r="AZ134" t="s">
        <v>163</v>
      </c>
      <c r="BB134" t="s">
        <v>118</v>
      </c>
      <c r="BC134" t="s">
        <v>760</v>
      </c>
      <c r="BF134" t="s">
        <v>787</v>
      </c>
      <c r="BG134" t="s">
        <v>102</v>
      </c>
      <c r="BH134" t="s">
        <v>102</v>
      </c>
      <c r="BI134" t="s">
        <v>102</v>
      </c>
      <c r="BK134" t="s">
        <v>107</v>
      </c>
      <c r="BR134">
        <v>2.25</v>
      </c>
      <c r="BT134">
        <v>5.5</v>
      </c>
      <c r="CA134" t="s">
        <v>788</v>
      </c>
      <c r="CB134" t="s">
        <v>731</v>
      </c>
      <c r="CL134" t="s">
        <v>102</v>
      </c>
      <c r="CM134" t="s">
        <v>102</v>
      </c>
      <c r="CN134" t="s">
        <v>757</v>
      </c>
      <c r="CO134" s="1">
        <v>39419</v>
      </c>
      <c r="CP134" s="1">
        <v>43634</v>
      </c>
    </row>
    <row r="135" spans="1:94" x14ac:dyDescent="0.25">
      <c r="A135" t="s">
        <v>790</v>
      </c>
      <c r="B135" t="str">
        <f xml:space="preserve"> "" &amp; 840254032491</f>
        <v>840254032491</v>
      </c>
      <c r="C135" t="s">
        <v>791</v>
      </c>
      <c r="D135" t="s">
        <v>792</v>
      </c>
      <c r="E135" t="s">
        <v>729</v>
      </c>
      <c r="F135" t="s">
        <v>98</v>
      </c>
      <c r="G135">
        <v>1</v>
      </c>
      <c r="H135">
        <v>1</v>
      </c>
      <c r="I135" t="s">
        <v>99</v>
      </c>
      <c r="J135" s="4">
        <v>595</v>
      </c>
      <c r="K135" s="4">
        <v>1785</v>
      </c>
      <c r="O135" t="s">
        <v>100</v>
      </c>
      <c r="P135" s="4">
        <v>1249.95</v>
      </c>
      <c r="S135">
        <v>36.25</v>
      </c>
      <c r="U135">
        <v>36</v>
      </c>
      <c r="W135">
        <v>39.33</v>
      </c>
      <c r="X135">
        <v>1</v>
      </c>
      <c r="Y135">
        <v>18</v>
      </c>
      <c r="Z135">
        <v>37</v>
      </c>
      <c r="AA135">
        <v>36</v>
      </c>
      <c r="AB135">
        <v>13.875</v>
      </c>
      <c r="AC135">
        <v>56.35</v>
      </c>
      <c r="AE135">
        <v>8</v>
      </c>
      <c r="AF135" t="s">
        <v>176</v>
      </c>
      <c r="AG135">
        <v>60</v>
      </c>
      <c r="AH135">
        <v>2</v>
      </c>
      <c r="AI135" t="s">
        <v>176</v>
      </c>
      <c r="AJ135">
        <v>25</v>
      </c>
      <c r="AK135" t="s">
        <v>102</v>
      </c>
      <c r="AL135">
        <v>8</v>
      </c>
      <c r="AM135" t="s">
        <v>102</v>
      </c>
      <c r="AN135" t="s">
        <v>102</v>
      </c>
      <c r="AO135" t="s">
        <v>100</v>
      </c>
      <c r="AP135" t="s">
        <v>103</v>
      </c>
      <c r="AQ135" t="s">
        <v>104</v>
      </c>
      <c r="AV135" t="s">
        <v>102</v>
      </c>
      <c r="AX135" t="s">
        <v>731</v>
      </c>
      <c r="AZ135" t="s">
        <v>163</v>
      </c>
      <c r="BB135" t="s">
        <v>54</v>
      </c>
      <c r="BC135" t="s">
        <v>770</v>
      </c>
      <c r="BF135" t="s">
        <v>793</v>
      </c>
      <c r="BG135" t="s">
        <v>102</v>
      </c>
      <c r="BH135" t="s">
        <v>102</v>
      </c>
      <c r="BI135" t="s">
        <v>102</v>
      </c>
      <c r="BK135" t="s">
        <v>107</v>
      </c>
      <c r="BR135">
        <v>2.25</v>
      </c>
      <c r="BT135">
        <v>5.5</v>
      </c>
      <c r="CA135" t="s">
        <v>794</v>
      </c>
      <c r="CB135" t="s">
        <v>731</v>
      </c>
      <c r="CL135" t="s">
        <v>102</v>
      </c>
      <c r="CM135" t="s">
        <v>102</v>
      </c>
      <c r="CN135" t="s">
        <v>757</v>
      </c>
      <c r="CO135" s="1">
        <v>39419</v>
      </c>
      <c r="CP135" s="1">
        <v>43634</v>
      </c>
    </row>
    <row r="136" spans="1:94" x14ac:dyDescent="0.25">
      <c r="A136" t="s">
        <v>795</v>
      </c>
      <c r="B136" t="str">
        <f xml:space="preserve"> "" &amp; 840254032460</f>
        <v>840254032460</v>
      </c>
      <c r="C136" t="s">
        <v>796</v>
      </c>
      <c r="D136" t="s">
        <v>797</v>
      </c>
      <c r="E136" t="s">
        <v>729</v>
      </c>
      <c r="F136" t="s">
        <v>98</v>
      </c>
      <c r="G136">
        <v>1</v>
      </c>
      <c r="H136">
        <v>1</v>
      </c>
      <c r="I136" t="s">
        <v>99</v>
      </c>
      <c r="J136" s="4">
        <v>1250</v>
      </c>
      <c r="K136" s="4">
        <v>3750</v>
      </c>
      <c r="O136" t="s">
        <v>100</v>
      </c>
      <c r="P136" s="4">
        <v>2629.95</v>
      </c>
      <c r="S136">
        <v>49.5</v>
      </c>
      <c r="U136">
        <v>42</v>
      </c>
      <c r="W136">
        <v>69.31</v>
      </c>
      <c r="X136">
        <v>1</v>
      </c>
      <c r="Y136">
        <v>33.5</v>
      </c>
      <c r="Z136">
        <v>42</v>
      </c>
      <c r="AA136">
        <v>42</v>
      </c>
      <c r="AB136">
        <v>34.198</v>
      </c>
      <c r="AC136">
        <v>100.4</v>
      </c>
      <c r="AE136">
        <v>8</v>
      </c>
      <c r="AF136" t="s">
        <v>176</v>
      </c>
      <c r="AG136">
        <v>60</v>
      </c>
      <c r="AH136">
        <v>4</v>
      </c>
      <c r="AI136" t="s">
        <v>176</v>
      </c>
      <c r="AJ136">
        <v>60</v>
      </c>
      <c r="AK136" t="s">
        <v>102</v>
      </c>
      <c r="AL136">
        <v>12</v>
      </c>
      <c r="AM136" t="s">
        <v>102</v>
      </c>
      <c r="AN136" t="s">
        <v>102</v>
      </c>
      <c r="AO136" t="s">
        <v>100</v>
      </c>
      <c r="AP136" t="s">
        <v>103</v>
      </c>
      <c r="AQ136" t="s">
        <v>104</v>
      </c>
      <c r="AV136" t="s">
        <v>102</v>
      </c>
      <c r="AX136" t="s">
        <v>731</v>
      </c>
      <c r="AZ136" t="s">
        <v>163</v>
      </c>
      <c r="BB136" t="s">
        <v>54</v>
      </c>
      <c r="BC136" t="s">
        <v>770</v>
      </c>
      <c r="BF136" t="s">
        <v>798</v>
      </c>
      <c r="BG136" t="s">
        <v>102</v>
      </c>
      <c r="BH136" t="s">
        <v>102</v>
      </c>
      <c r="BI136" t="s">
        <v>102</v>
      </c>
      <c r="BK136" t="s">
        <v>107</v>
      </c>
      <c r="CA136" t="s">
        <v>799</v>
      </c>
      <c r="CB136" t="s">
        <v>731</v>
      </c>
      <c r="CL136" t="s">
        <v>102</v>
      </c>
      <c r="CM136" t="s">
        <v>102</v>
      </c>
      <c r="CN136" t="s">
        <v>757</v>
      </c>
      <c r="CO136" s="1">
        <v>39253</v>
      </c>
      <c r="CP136" s="1">
        <v>43634</v>
      </c>
    </row>
    <row r="137" spans="1:94" x14ac:dyDescent="0.25">
      <c r="A137" t="s">
        <v>800</v>
      </c>
      <c r="B137" t="str">
        <f xml:space="preserve"> "" &amp; 840254032569</f>
        <v>840254032569</v>
      </c>
      <c r="C137" t="s">
        <v>801</v>
      </c>
      <c r="D137" t="s">
        <v>802</v>
      </c>
      <c r="E137" t="s">
        <v>729</v>
      </c>
      <c r="F137" t="s">
        <v>803</v>
      </c>
      <c r="G137">
        <v>1</v>
      </c>
      <c r="H137">
        <v>1</v>
      </c>
      <c r="I137" t="s">
        <v>99</v>
      </c>
      <c r="J137" s="4">
        <v>95</v>
      </c>
      <c r="K137" s="4">
        <v>285</v>
      </c>
      <c r="O137" t="s">
        <v>100</v>
      </c>
      <c r="P137" s="4">
        <v>199.95</v>
      </c>
      <c r="S137">
        <v>7</v>
      </c>
      <c r="T137">
        <v>9.5</v>
      </c>
      <c r="U137">
        <v>9.5</v>
      </c>
      <c r="W137">
        <v>3.33</v>
      </c>
      <c r="X137">
        <v>1</v>
      </c>
      <c r="Y137">
        <v>10</v>
      </c>
      <c r="Z137">
        <v>12.5</v>
      </c>
      <c r="AA137">
        <v>12.5</v>
      </c>
      <c r="AB137">
        <v>0.90400000000000003</v>
      </c>
      <c r="AC137">
        <v>5.4</v>
      </c>
      <c r="AE137">
        <v>2</v>
      </c>
      <c r="AF137" t="s">
        <v>176</v>
      </c>
      <c r="AG137">
        <v>40</v>
      </c>
      <c r="AH137">
        <v>0</v>
      </c>
      <c r="AJ137">
        <v>0</v>
      </c>
      <c r="AK137" t="s">
        <v>102</v>
      </c>
      <c r="AM137" t="s">
        <v>102</v>
      </c>
      <c r="AN137" t="s">
        <v>100</v>
      </c>
      <c r="AO137" t="s">
        <v>102</v>
      </c>
      <c r="AP137" t="s">
        <v>117</v>
      </c>
      <c r="AQ137" t="s">
        <v>104</v>
      </c>
      <c r="AV137" t="s">
        <v>102</v>
      </c>
      <c r="AX137" t="s">
        <v>731</v>
      </c>
      <c r="AZ137" t="s">
        <v>163</v>
      </c>
      <c r="BB137" t="s">
        <v>118</v>
      </c>
      <c r="BC137" t="s">
        <v>760</v>
      </c>
      <c r="BF137" t="s">
        <v>804</v>
      </c>
      <c r="BG137" t="s">
        <v>102</v>
      </c>
      <c r="BH137" t="s">
        <v>102</v>
      </c>
      <c r="BI137" t="s">
        <v>102</v>
      </c>
      <c r="BK137" t="s">
        <v>191</v>
      </c>
      <c r="CA137" t="s">
        <v>805</v>
      </c>
      <c r="CB137" t="s">
        <v>731</v>
      </c>
      <c r="CL137" t="s">
        <v>100</v>
      </c>
      <c r="CM137" t="s">
        <v>102</v>
      </c>
      <c r="CN137" t="s">
        <v>806</v>
      </c>
      <c r="CO137" s="1">
        <v>39350</v>
      </c>
      <c r="CP137" s="1">
        <v>43634</v>
      </c>
    </row>
    <row r="138" spans="1:94" x14ac:dyDescent="0.25">
      <c r="A138" t="s">
        <v>807</v>
      </c>
      <c r="B138" t="str">
        <f xml:space="preserve"> "" &amp; 840254032026</f>
        <v>840254032026</v>
      </c>
      <c r="C138" t="s">
        <v>178</v>
      </c>
      <c r="D138" t="s">
        <v>808</v>
      </c>
      <c r="E138" t="s">
        <v>729</v>
      </c>
      <c r="F138" t="s">
        <v>179</v>
      </c>
      <c r="G138">
        <v>1</v>
      </c>
      <c r="H138">
        <v>1</v>
      </c>
      <c r="I138" t="s">
        <v>99</v>
      </c>
      <c r="J138" s="4">
        <v>125</v>
      </c>
      <c r="K138" s="4">
        <v>375</v>
      </c>
      <c r="O138" t="s">
        <v>100</v>
      </c>
      <c r="P138" s="4">
        <v>264.95</v>
      </c>
      <c r="S138">
        <v>12.25</v>
      </c>
      <c r="U138">
        <v>8.3800000000000008</v>
      </c>
      <c r="V138">
        <v>4.25</v>
      </c>
      <c r="W138">
        <v>4.01</v>
      </c>
      <c r="X138">
        <v>1</v>
      </c>
      <c r="Y138">
        <v>14.5</v>
      </c>
      <c r="Z138">
        <v>11</v>
      </c>
      <c r="AA138">
        <v>7</v>
      </c>
      <c r="AB138">
        <v>0.64600000000000002</v>
      </c>
      <c r="AC138">
        <v>5.03</v>
      </c>
      <c r="AE138">
        <v>2</v>
      </c>
      <c r="AF138" t="s">
        <v>176</v>
      </c>
      <c r="AG138">
        <v>40</v>
      </c>
      <c r="AH138">
        <v>0</v>
      </c>
      <c r="AJ138">
        <v>0</v>
      </c>
      <c r="AK138" t="s">
        <v>102</v>
      </c>
      <c r="AM138" t="s">
        <v>102</v>
      </c>
      <c r="AN138" t="s">
        <v>102</v>
      </c>
      <c r="AO138" t="s">
        <v>100</v>
      </c>
      <c r="AP138" t="s">
        <v>117</v>
      </c>
      <c r="AQ138" t="s">
        <v>104</v>
      </c>
      <c r="AV138" t="s">
        <v>102</v>
      </c>
      <c r="AX138" t="s">
        <v>731</v>
      </c>
      <c r="AZ138" t="s">
        <v>163</v>
      </c>
      <c r="BB138" t="s">
        <v>118</v>
      </c>
      <c r="BC138" t="s">
        <v>760</v>
      </c>
      <c r="BF138" t="s">
        <v>809</v>
      </c>
      <c r="BG138" t="s">
        <v>102</v>
      </c>
      <c r="BH138" t="s">
        <v>102</v>
      </c>
      <c r="BI138" t="s">
        <v>102</v>
      </c>
      <c r="BK138" t="s">
        <v>191</v>
      </c>
      <c r="BL138" t="s">
        <v>547</v>
      </c>
      <c r="BR138">
        <v>12.25</v>
      </c>
      <c r="BT138">
        <v>8.1300000000000008</v>
      </c>
      <c r="CA138" t="s">
        <v>810</v>
      </c>
      <c r="CB138" t="s">
        <v>731</v>
      </c>
      <c r="CL138" t="s">
        <v>102</v>
      </c>
      <c r="CM138" t="s">
        <v>102</v>
      </c>
      <c r="CN138" t="s">
        <v>806</v>
      </c>
      <c r="CO138" s="1">
        <v>39253</v>
      </c>
      <c r="CP138" s="1">
        <v>43634</v>
      </c>
    </row>
    <row r="139" spans="1:94" x14ac:dyDescent="0.25">
      <c r="A139" t="s">
        <v>811</v>
      </c>
      <c r="B139" t="str">
        <f xml:space="preserve"> "" &amp; 840254032545</f>
        <v>840254032545</v>
      </c>
      <c r="C139" t="s">
        <v>178</v>
      </c>
      <c r="D139" t="s">
        <v>808</v>
      </c>
      <c r="E139" t="s">
        <v>729</v>
      </c>
      <c r="F139" t="s">
        <v>179</v>
      </c>
      <c r="G139">
        <v>1</v>
      </c>
      <c r="H139">
        <v>1</v>
      </c>
      <c r="I139" t="s">
        <v>99</v>
      </c>
      <c r="J139" s="4">
        <v>250</v>
      </c>
      <c r="K139" s="4">
        <v>750</v>
      </c>
      <c r="O139" t="s">
        <v>100</v>
      </c>
      <c r="P139" s="4">
        <v>524.95000000000005</v>
      </c>
      <c r="S139">
        <v>29.5</v>
      </c>
      <c r="U139">
        <v>13.75</v>
      </c>
      <c r="V139">
        <v>7.25</v>
      </c>
      <c r="W139">
        <v>9.66</v>
      </c>
      <c r="X139">
        <v>1</v>
      </c>
      <c r="Y139">
        <v>11</v>
      </c>
      <c r="Z139">
        <v>29</v>
      </c>
      <c r="AA139">
        <v>15.5</v>
      </c>
      <c r="AB139">
        <v>2.8610000000000002</v>
      </c>
      <c r="AC139">
        <v>15.43</v>
      </c>
      <c r="AE139">
        <v>2</v>
      </c>
      <c r="AF139" t="s">
        <v>176</v>
      </c>
      <c r="AG139">
        <v>60</v>
      </c>
      <c r="AK139" t="s">
        <v>102</v>
      </c>
      <c r="AL139">
        <v>2</v>
      </c>
      <c r="AM139" t="s">
        <v>102</v>
      </c>
      <c r="AN139" t="s">
        <v>102</v>
      </c>
      <c r="AO139" t="s">
        <v>100</v>
      </c>
      <c r="AP139" t="s">
        <v>117</v>
      </c>
      <c r="AQ139" t="s">
        <v>104</v>
      </c>
      <c r="AV139" t="s">
        <v>102</v>
      </c>
      <c r="AX139" t="s">
        <v>731</v>
      </c>
      <c r="AZ139" t="s">
        <v>163</v>
      </c>
      <c r="BB139" t="s">
        <v>54</v>
      </c>
      <c r="BC139" t="s">
        <v>770</v>
      </c>
      <c r="BF139" t="s">
        <v>812</v>
      </c>
      <c r="BG139" t="s">
        <v>102</v>
      </c>
      <c r="BH139" t="s">
        <v>102</v>
      </c>
      <c r="BI139" t="s">
        <v>102</v>
      </c>
      <c r="BK139" t="s">
        <v>191</v>
      </c>
      <c r="BL139" t="s">
        <v>180</v>
      </c>
      <c r="BT139">
        <v>5.5</v>
      </c>
      <c r="CA139" t="s">
        <v>813</v>
      </c>
      <c r="CB139" t="s">
        <v>731</v>
      </c>
      <c r="CL139" t="s">
        <v>102</v>
      </c>
      <c r="CM139" t="s">
        <v>102</v>
      </c>
      <c r="CN139" t="s">
        <v>757</v>
      </c>
      <c r="CO139" s="1">
        <v>39419</v>
      </c>
      <c r="CP139" s="1">
        <v>43634</v>
      </c>
    </row>
    <row r="140" spans="1:94" x14ac:dyDescent="0.25">
      <c r="A140" t="s">
        <v>814</v>
      </c>
      <c r="B140" t="str">
        <f xml:space="preserve"> "" &amp; 840254032019</f>
        <v>840254032019</v>
      </c>
      <c r="C140" t="s">
        <v>381</v>
      </c>
      <c r="D140" t="s">
        <v>789</v>
      </c>
      <c r="E140" t="s">
        <v>729</v>
      </c>
      <c r="F140" t="s">
        <v>371</v>
      </c>
      <c r="G140">
        <v>1</v>
      </c>
      <c r="H140">
        <v>1</v>
      </c>
      <c r="I140" t="s">
        <v>99</v>
      </c>
      <c r="J140" s="4">
        <v>265</v>
      </c>
      <c r="K140" s="4">
        <v>795</v>
      </c>
      <c r="O140" t="s">
        <v>100</v>
      </c>
      <c r="P140" s="4">
        <v>559.95000000000005</v>
      </c>
      <c r="S140">
        <v>34.5</v>
      </c>
      <c r="U140">
        <v>13.5</v>
      </c>
      <c r="W140">
        <v>16.760000000000002</v>
      </c>
      <c r="X140">
        <v>1</v>
      </c>
      <c r="Y140">
        <v>14</v>
      </c>
      <c r="Z140">
        <v>27</v>
      </c>
      <c r="AA140">
        <v>13</v>
      </c>
      <c r="AB140">
        <v>2.8439999999999999</v>
      </c>
      <c r="AC140">
        <v>21.54</v>
      </c>
      <c r="AE140">
        <v>3</v>
      </c>
      <c r="AF140" t="s">
        <v>176</v>
      </c>
      <c r="AG140">
        <v>60</v>
      </c>
      <c r="AK140" t="s">
        <v>102</v>
      </c>
      <c r="AM140" t="s">
        <v>102</v>
      </c>
      <c r="AN140" t="s">
        <v>102</v>
      </c>
      <c r="AO140" t="s">
        <v>100</v>
      </c>
      <c r="AP140" t="s">
        <v>117</v>
      </c>
      <c r="AQ140" t="s">
        <v>104</v>
      </c>
      <c r="AV140" t="s">
        <v>102</v>
      </c>
      <c r="AX140" t="s">
        <v>731</v>
      </c>
      <c r="AZ140" t="s">
        <v>163</v>
      </c>
      <c r="BB140" t="s">
        <v>54</v>
      </c>
      <c r="BC140" t="s">
        <v>770</v>
      </c>
      <c r="BF140" t="s">
        <v>815</v>
      </c>
      <c r="BG140" t="s">
        <v>102</v>
      </c>
      <c r="BH140" t="s">
        <v>102</v>
      </c>
      <c r="BI140" t="s">
        <v>102</v>
      </c>
      <c r="BK140" t="s">
        <v>107</v>
      </c>
      <c r="BR140">
        <v>2.25</v>
      </c>
      <c r="BT140">
        <v>5.63</v>
      </c>
      <c r="CA140" t="s">
        <v>816</v>
      </c>
      <c r="CB140" t="s">
        <v>731</v>
      </c>
      <c r="CL140" t="s">
        <v>102</v>
      </c>
      <c r="CM140" t="s">
        <v>102</v>
      </c>
      <c r="CN140" t="s">
        <v>757</v>
      </c>
      <c r="CO140" s="1">
        <v>39419</v>
      </c>
      <c r="CP140" s="1">
        <v>43634</v>
      </c>
    </row>
    <row r="141" spans="1:94" x14ac:dyDescent="0.25">
      <c r="A141" t="s">
        <v>817</v>
      </c>
      <c r="B141" t="str">
        <f xml:space="preserve"> "" &amp; 840254020245</f>
        <v>840254020245</v>
      </c>
      <c r="C141" t="s">
        <v>744</v>
      </c>
      <c r="D141" t="s">
        <v>818</v>
      </c>
      <c r="E141" t="s">
        <v>314</v>
      </c>
      <c r="F141" t="s">
        <v>371</v>
      </c>
      <c r="G141">
        <v>1</v>
      </c>
      <c r="H141">
        <v>1</v>
      </c>
      <c r="I141" t="s">
        <v>99</v>
      </c>
      <c r="J141" s="4">
        <v>110</v>
      </c>
      <c r="K141" s="4">
        <v>330</v>
      </c>
      <c r="O141" t="s">
        <v>100</v>
      </c>
      <c r="P141" s="4">
        <v>229.95</v>
      </c>
      <c r="S141">
        <v>19.25</v>
      </c>
      <c r="U141">
        <v>9.25</v>
      </c>
      <c r="W141">
        <v>7.94</v>
      </c>
      <c r="X141">
        <v>1</v>
      </c>
      <c r="Y141">
        <v>20.5</v>
      </c>
      <c r="Z141">
        <v>8.25</v>
      </c>
      <c r="AA141">
        <v>8.25</v>
      </c>
      <c r="AB141">
        <v>0.80700000000000005</v>
      </c>
      <c r="AC141">
        <v>12.35</v>
      </c>
      <c r="AE141">
        <v>1</v>
      </c>
      <c r="AF141" t="s">
        <v>176</v>
      </c>
      <c r="AG141">
        <v>60</v>
      </c>
      <c r="AH141">
        <v>0</v>
      </c>
      <c r="AK141" t="s">
        <v>102</v>
      </c>
      <c r="AM141" t="s">
        <v>102</v>
      </c>
      <c r="AN141" t="s">
        <v>102</v>
      </c>
      <c r="AO141" t="s">
        <v>100</v>
      </c>
      <c r="AP141" t="s">
        <v>117</v>
      </c>
      <c r="AQ141" t="s">
        <v>104</v>
      </c>
      <c r="AV141" t="s">
        <v>102</v>
      </c>
      <c r="AX141" t="s">
        <v>315</v>
      </c>
      <c r="AZ141" t="s">
        <v>163</v>
      </c>
      <c r="BF141" t="s">
        <v>819</v>
      </c>
      <c r="BG141" t="s">
        <v>102</v>
      </c>
      <c r="BH141" t="s">
        <v>102</v>
      </c>
      <c r="BI141" t="s">
        <v>102</v>
      </c>
      <c r="BK141" t="s">
        <v>107</v>
      </c>
      <c r="CA141" t="s">
        <v>820</v>
      </c>
      <c r="CB141" t="s">
        <v>315</v>
      </c>
      <c r="CL141" t="s">
        <v>102</v>
      </c>
      <c r="CM141" t="s">
        <v>102</v>
      </c>
      <c r="CN141" t="s">
        <v>193</v>
      </c>
      <c r="CO141" s="1">
        <v>37210</v>
      </c>
      <c r="CP141" s="1">
        <v>43634</v>
      </c>
    </row>
    <row r="142" spans="1:94" x14ac:dyDescent="0.25">
      <c r="A142" t="s">
        <v>821</v>
      </c>
      <c r="B142" t="str">
        <f xml:space="preserve"> "" &amp; 840254020269</f>
        <v>840254020269</v>
      </c>
      <c r="C142" t="s">
        <v>381</v>
      </c>
      <c r="D142" t="s">
        <v>822</v>
      </c>
      <c r="E142" t="s">
        <v>314</v>
      </c>
      <c r="F142" t="s">
        <v>371</v>
      </c>
      <c r="G142">
        <v>1</v>
      </c>
      <c r="H142">
        <v>1</v>
      </c>
      <c r="I142" t="s">
        <v>99</v>
      </c>
      <c r="J142" s="4">
        <v>190</v>
      </c>
      <c r="K142" s="4">
        <v>570</v>
      </c>
      <c r="O142" t="s">
        <v>100</v>
      </c>
      <c r="P142" s="4">
        <v>399.95</v>
      </c>
      <c r="S142">
        <v>28</v>
      </c>
      <c r="U142">
        <v>11.75</v>
      </c>
      <c r="W142">
        <v>16.760000000000002</v>
      </c>
      <c r="X142">
        <v>1</v>
      </c>
      <c r="Y142">
        <v>30.5</v>
      </c>
      <c r="Z142">
        <v>14</v>
      </c>
      <c r="AA142">
        <v>14</v>
      </c>
      <c r="AB142">
        <v>3.4590000000000001</v>
      </c>
      <c r="AC142">
        <v>24.25</v>
      </c>
      <c r="AE142">
        <v>3</v>
      </c>
      <c r="AF142" t="s">
        <v>176</v>
      </c>
      <c r="AG142">
        <v>60</v>
      </c>
      <c r="AH142">
        <v>0</v>
      </c>
      <c r="AK142" t="s">
        <v>102</v>
      </c>
      <c r="AM142" t="s">
        <v>102</v>
      </c>
      <c r="AN142" t="s">
        <v>102</v>
      </c>
      <c r="AO142" t="s">
        <v>100</v>
      </c>
      <c r="AP142" t="s">
        <v>117</v>
      </c>
      <c r="AQ142" t="s">
        <v>104</v>
      </c>
      <c r="AV142" t="s">
        <v>102</v>
      </c>
      <c r="AX142" t="s">
        <v>315</v>
      </c>
      <c r="AZ142" t="s">
        <v>163</v>
      </c>
      <c r="BF142" t="s">
        <v>823</v>
      </c>
      <c r="BG142" t="s">
        <v>102</v>
      </c>
      <c r="BH142" t="s">
        <v>102</v>
      </c>
      <c r="BI142" t="s">
        <v>102</v>
      </c>
      <c r="BK142" t="s">
        <v>107</v>
      </c>
      <c r="CA142" t="s">
        <v>824</v>
      </c>
      <c r="CB142" t="s">
        <v>315</v>
      </c>
      <c r="CL142" t="s">
        <v>102</v>
      </c>
      <c r="CM142" t="s">
        <v>102</v>
      </c>
      <c r="CN142" t="s">
        <v>193</v>
      </c>
      <c r="CO142" s="1">
        <v>37210</v>
      </c>
      <c r="CP142" s="1">
        <v>43634</v>
      </c>
    </row>
    <row r="143" spans="1:94" x14ac:dyDescent="0.25">
      <c r="A143" t="s">
        <v>825</v>
      </c>
      <c r="B143" t="str">
        <f xml:space="preserve"> "" &amp; 840254020283</f>
        <v>840254020283</v>
      </c>
      <c r="C143" t="s">
        <v>826</v>
      </c>
      <c r="D143" t="s">
        <v>827</v>
      </c>
      <c r="E143" t="s">
        <v>314</v>
      </c>
      <c r="F143" t="s">
        <v>828</v>
      </c>
      <c r="G143">
        <v>1</v>
      </c>
      <c r="H143">
        <v>1</v>
      </c>
      <c r="I143" t="s">
        <v>99</v>
      </c>
      <c r="J143" s="4">
        <v>695</v>
      </c>
      <c r="K143" s="4">
        <v>2085</v>
      </c>
      <c r="O143" t="s">
        <v>100</v>
      </c>
      <c r="P143" s="4">
        <v>1459.95</v>
      </c>
      <c r="S143">
        <v>36.75</v>
      </c>
      <c r="T143">
        <v>46.5</v>
      </c>
      <c r="U143">
        <v>17</v>
      </c>
      <c r="W143">
        <v>69.89</v>
      </c>
      <c r="X143">
        <v>1</v>
      </c>
      <c r="Y143">
        <v>15</v>
      </c>
      <c r="Z143">
        <v>52</v>
      </c>
      <c r="AA143">
        <v>33.5</v>
      </c>
      <c r="AB143">
        <v>15.122</v>
      </c>
      <c r="AC143">
        <v>85.98</v>
      </c>
      <c r="AE143">
        <v>12</v>
      </c>
      <c r="AF143" t="s">
        <v>333</v>
      </c>
      <c r="AG143">
        <v>60</v>
      </c>
      <c r="AH143">
        <v>0</v>
      </c>
      <c r="AK143" t="s">
        <v>102</v>
      </c>
      <c r="AM143" t="s">
        <v>102</v>
      </c>
      <c r="AN143" t="s">
        <v>100</v>
      </c>
      <c r="AO143" t="s">
        <v>102</v>
      </c>
      <c r="AP143" t="s">
        <v>103</v>
      </c>
      <c r="AQ143" t="s">
        <v>104</v>
      </c>
      <c r="AV143" t="s">
        <v>102</v>
      </c>
      <c r="AX143" t="s">
        <v>315</v>
      </c>
      <c r="AZ143" t="s">
        <v>163</v>
      </c>
      <c r="BB143" t="s">
        <v>118</v>
      </c>
      <c r="BC143" t="s">
        <v>829</v>
      </c>
      <c r="BF143" t="s">
        <v>830</v>
      </c>
      <c r="BG143" t="s">
        <v>102</v>
      </c>
      <c r="BH143" t="s">
        <v>102</v>
      </c>
      <c r="BI143" t="s">
        <v>102</v>
      </c>
      <c r="BK143" t="s">
        <v>107</v>
      </c>
      <c r="CA143" t="s">
        <v>831</v>
      </c>
      <c r="CB143" t="s">
        <v>315</v>
      </c>
      <c r="CL143" t="s">
        <v>102</v>
      </c>
      <c r="CM143" t="s">
        <v>102</v>
      </c>
      <c r="CN143" t="s">
        <v>343</v>
      </c>
      <c r="CO143" s="1">
        <v>37210</v>
      </c>
      <c r="CP143" s="1">
        <v>43634</v>
      </c>
    </row>
    <row r="144" spans="1:94" x14ac:dyDescent="0.25">
      <c r="A144" t="s">
        <v>832</v>
      </c>
      <c r="B144" t="str">
        <f xml:space="preserve"> "" &amp; 840254020290</f>
        <v>840254020290</v>
      </c>
      <c r="C144" t="s">
        <v>833</v>
      </c>
      <c r="D144" t="s">
        <v>834</v>
      </c>
      <c r="E144" t="s">
        <v>314</v>
      </c>
      <c r="F144" t="s">
        <v>98</v>
      </c>
      <c r="G144">
        <v>1</v>
      </c>
      <c r="H144">
        <v>1</v>
      </c>
      <c r="I144" t="s">
        <v>99</v>
      </c>
      <c r="J144" s="4">
        <v>445</v>
      </c>
      <c r="K144" s="4">
        <v>1335</v>
      </c>
      <c r="O144" t="s">
        <v>100</v>
      </c>
      <c r="P144" s="4">
        <v>934.95</v>
      </c>
      <c r="S144">
        <v>35.5</v>
      </c>
      <c r="U144">
        <v>30</v>
      </c>
      <c r="W144">
        <v>42.99</v>
      </c>
      <c r="X144">
        <v>1</v>
      </c>
      <c r="Y144">
        <v>19</v>
      </c>
      <c r="Z144">
        <v>32.5</v>
      </c>
      <c r="AA144">
        <v>26.5</v>
      </c>
      <c r="AB144">
        <v>9.4700000000000006</v>
      </c>
      <c r="AC144">
        <v>60.52</v>
      </c>
      <c r="AE144">
        <v>6</v>
      </c>
      <c r="AF144" t="s">
        <v>176</v>
      </c>
      <c r="AG144">
        <v>60</v>
      </c>
      <c r="AH144">
        <v>3</v>
      </c>
      <c r="AI144" t="s">
        <v>835</v>
      </c>
      <c r="AJ144">
        <v>60</v>
      </c>
      <c r="AK144" t="s">
        <v>102</v>
      </c>
      <c r="AL144">
        <v>6</v>
      </c>
      <c r="AM144" t="s">
        <v>102</v>
      </c>
      <c r="AN144" t="s">
        <v>102</v>
      </c>
      <c r="AO144" t="s">
        <v>100</v>
      </c>
      <c r="AP144" t="s">
        <v>117</v>
      </c>
      <c r="AQ144" t="s">
        <v>104</v>
      </c>
      <c r="AV144" t="s">
        <v>102</v>
      </c>
      <c r="AX144" t="s">
        <v>315</v>
      </c>
      <c r="AZ144" t="s">
        <v>163</v>
      </c>
      <c r="BB144" t="s">
        <v>118</v>
      </c>
      <c r="BC144" t="s">
        <v>829</v>
      </c>
      <c r="BF144" t="s">
        <v>836</v>
      </c>
      <c r="BG144" t="s">
        <v>102</v>
      </c>
      <c r="BH144" t="s">
        <v>102</v>
      </c>
      <c r="BI144" t="s">
        <v>102</v>
      </c>
      <c r="BK144" t="s">
        <v>107</v>
      </c>
      <c r="CA144" t="s">
        <v>837</v>
      </c>
      <c r="CB144" t="s">
        <v>315</v>
      </c>
      <c r="CL144" t="s">
        <v>102</v>
      </c>
      <c r="CM144" t="s">
        <v>102</v>
      </c>
      <c r="CN144" t="s">
        <v>343</v>
      </c>
      <c r="CO144" s="1">
        <v>37210</v>
      </c>
      <c r="CP144" s="1">
        <v>43634</v>
      </c>
    </row>
    <row r="145" spans="1:94" x14ac:dyDescent="0.25">
      <c r="A145" t="s">
        <v>838</v>
      </c>
      <c r="B145" t="str">
        <f xml:space="preserve"> "" &amp; 840254020306</f>
        <v>840254020306</v>
      </c>
      <c r="C145" t="s">
        <v>801</v>
      </c>
      <c r="D145" t="s">
        <v>839</v>
      </c>
      <c r="E145" t="s">
        <v>314</v>
      </c>
      <c r="F145" t="s">
        <v>803</v>
      </c>
      <c r="G145">
        <v>1</v>
      </c>
      <c r="H145">
        <v>1</v>
      </c>
      <c r="I145" t="s">
        <v>99</v>
      </c>
      <c r="J145" s="4">
        <v>145</v>
      </c>
      <c r="K145" s="4">
        <v>435</v>
      </c>
      <c r="O145" t="s">
        <v>100</v>
      </c>
      <c r="P145" s="4">
        <v>304.95</v>
      </c>
      <c r="S145">
        <v>5.5</v>
      </c>
      <c r="U145">
        <v>15.5</v>
      </c>
      <c r="W145">
        <v>9.6300000000000008</v>
      </c>
      <c r="X145">
        <v>1</v>
      </c>
      <c r="Y145">
        <v>8.25</v>
      </c>
      <c r="Z145">
        <v>17.5</v>
      </c>
      <c r="AA145">
        <v>17.5</v>
      </c>
      <c r="AB145">
        <v>1.462</v>
      </c>
      <c r="AC145">
        <v>12.06</v>
      </c>
      <c r="AE145">
        <v>2</v>
      </c>
      <c r="AF145" t="s">
        <v>835</v>
      </c>
      <c r="AG145">
        <v>60</v>
      </c>
      <c r="AH145">
        <v>0</v>
      </c>
      <c r="AK145" t="s">
        <v>102</v>
      </c>
      <c r="AM145" t="s">
        <v>102</v>
      </c>
      <c r="AN145" t="s">
        <v>100</v>
      </c>
      <c r="AO145" t="s">
        <v>102</v>
      </c>
      <c r="AP145" t="s">
        <v>117</v>
      </c>
      <c r="AQ145" t="s">
        <v>104</v>
      </c>
      <c r="AV145" t="s">
        <v>102</v>
      </c>
      <c r="AX145" t="s">
        <v>315</v>
      </c>
      <c r="AZ145" t="s">
        <v>163</v>
      </c>
      <c r="BB145" t="s">
        <v>118</v>
      </c>
      <c r="BC145" t="s">
        <v>829</v>
      </c>
      <c r="BF145" t="s">
        <v>840</v>
      </c>
      <c r="BG145" t="s">
        <v>102</v>
      </c>
      <c r="BH145" t="s">
        <v>102</v>
      </c>
      <c r="BI145" t="s">
        <v>102</v>
      </c>
      <c r="BK145" t="s">
        <v>191</v>
      </c>
      <c r="CA145" t="s">
        <v>841</v>
      </c>
      <c r="CB145" t="s">
        <v>315</v>
      </c>
      <c r="CL145" t="s">
        <v>102</v>
      </c>
      <c r="CM145" t="s">
        <v>102</v>
      </c>
      <c r="CN145" t="s">
        <v>842</v>
      </c>
      <c r="CO145" s="1">
        <v>37210</v>
      </c>
      <c r="CP145" s="1">
        <v>43634</v>
      </c>
    </row>
    <row r="146" spans="1:94" x14ac:dyDescent="0.25">
      <c r="A146" t="s">
        <v>843</v>
      </c>
      <c r="B146" t="str">
        <f xml:space="preserve"> "" &amp; 840254020320</f>
        <v>840254020320</v>
      </c>
      <c r="C146" t="s">
        <v>381</v>
      </c>
      <c r="D146" t="s">
        <v>822</v>
      </c>
      <c r="E146" t="s">
        <v>314</v>
      </c>
      <c r="F146" t="s">
        <v>371</v>
      </c>
      <c r="G146">
        <v>1</v>
      </c>
      <c r="H146">
        <v>1</v>
      </c>
      <c r="I146" t="s">
        <v>99</v>
      </c>
      <c r="J146" s="4">
        <v>250</v>
      </c>
      <c r="K146" s="4">
        <v>750</v>
      </c>
      <c r="O146" t="s">
        <v>100</v>
      </c>
      <c r="P146" s="4">
        <v>524.95000000000005</v>
      </c>
      <c r="S146">
        <v>22.5</v>
      </c>
      <c r="T146">
        <v>17</v>
      </c>
      <c r="U146">
        <v>17</v>
      </c>
      <c r="W146">
        <v>27.78</v>
      </c>
      <c r="X146">
        <v>1</v>
      </c>
      <c r="Y146">
        <v>15</v>
      </c>
      <c r="Z146">
        <v>23</v>
      </c>
      <c r="AA146">
        <v>19.5</v>
      </c>
      <c r="AB146">
        <v>3.8929999999999998</v>
      </c>
      <c r="AC146">
        <v>34.61</v>
      </c>
      <c r="AE146">
        <v>3</v>
      </c>
      <c r="AF146" t="s">
        <v>835</v>
      </c>
      <c r="AG146">
        <v>100</v>
      </c>
      <c r="AH146">
        <v>0</v>
      </c>
      <c r="AK146" t="s">
        <v>102</v>
      </c>
      <c r="AM146" t="s">
        <v>102</v>
      </c>
      <c r="AN146" t="s">
        <v>102</v>
      </c>
      <c r="AO146" t="s">
        <v>100</v>
      </c>
      <c r="AP146" t="s">
        <v>117</v>
      </c>
      <c r="AQ146" t="s">
        <v>104</v>
      </c>
      <c r="AV146" t="s">
        <v>102</v>
      </c>
      <c r="AX146" t="s">
        <v>315</v>
      </c>
      <c r="AZ146" t="s">
        <v>163</v>
      </c>
      <c r="BB146" t="s">
        <v>118</v>
      </c>
      <c r="BC146" t="s">
        <v>829</v>
      </c>
      <c r="BF146" t="s">
        <v>844</v>
      </c>
      <c r="BG146" t="s">
        <v>102</v>
      </c>
      <c r="BH146" t="s">
        <v>102</v>
      </c>
      <c r="BI146" t="s">
        <v>102</v>
      </c>
      <c r="BK146" t="s">
        <v>107</v>
      </c>
      <c r="CA146" t="s">
        <v>845</v>
      </c>
      <c r="CB146" t="s">
        <v>315</v>
      </c>
      <c r="CL146" t="s">
        <v>102</v>
      </c>
      <c r="CM146" t="s">
        <v>102</v>
      </c>
      <c r="CN146" t="s">
        <v>343</v>
      </c>
      <c r="CO146" s="1">
        <v>39036</v>
      </c>
      <c r="CP146" s="1">
        <v>43634</v>
      </c>
    </row>
    <row r="147" spans="1:94" x14ac:dyDescent="0.25">
      <c r="A147" t="s">
        <v>847</v>
      </c>
      <c r="B147" t="str">
        <f xml:space="preserve"> "" &amp; 840254020740</f>
        <v>840254020740</v>
      </c>
      <c r="C147" t="s">
        <v>95</v>
      </c>
      <c r="D147" t="s">
        <v>95</v>
      </c>
      <c r="F147" t="s">
        <v>371</v>
      </c>
      <c r="G147">
        <v>1</v>
      </c>
      <c r="H147">
        <v>1</v>
      </c>
      <c r="I147" t="s">
        <v>99</v>
      </c>
      <c r="J147" s="4">
        <v>1095</v>
      </c>
      <c r="K147" s="4">
        <v>3285</v>
      </c>
      <c r="O147" t="s">
        <v>100</v>
      </c>
      <c r="P147" s="4">
        <v>2299.9499999999998</v>
      </c>
      <c r="S147">
        <v>72</v>
      </c>
      <c r="U147">
        <v>28</v>
      </c>
      <c r="W147">
        <v>73.849999999999994</v>
      </c>
      <c r="X147">
        <v>1</v>
      </c>
      <c r="Y147">
        <v>31.5</v>
      </c>
      <c r="Z147">
        <v>77.5</v>
      </c>
      <c r="AA147">
        <v>28.5</v>
      </c>
      <c r="AB147">
        <v>40.264000000000003</v>
      </c>
      <c r="AC147">
        <v>98.55</v>
      </c>
      <c r="AE147">
        <v>12</v>
      </c>
      <c r="AF147" t="s">
        <v>187</v>
      </c>
      <c r="AG147">
        <v>60</v>
      </c>
      <c r="AK147" t="s">
        <v>102</v>
      </c>
      <c r="AM147" t="s">
        <v>102</v>
      </c>
      <c r="AN147" t="s">
        <v>102</v>
      </c>
      <c r="AO147" t="s">
        <v>100</v>
      </c>
      <c r="AP147" t="s">
        <v>103</v>
      </c>
      <c r="AQ147" t="s">
        <v>104</v>
      </c>
      <c r="AV147" t="s">
        <v>102</v>
      </c>
      <c r="AX147" t="s">
        <v>848</v>
      </c>
      <c r="AZ147" t="s">
        <v>163</v>
      </c>
      <c r="BF147" t="s">
        <v>849</v>
      </c>
      <c r="BG147" t="s">
        <v>102</v>
      </c>
      <c r="BH147" t="s">
        <v>102</v>
      </c>
      <c r="BI147" t="s">
        <v>102</v>
      </c>
      <c r="BK147" t="s">
        <v>107</v>
      </c>
      <c r="CA147" t="s">
        <v>850</v>
      </c>
      <c r="CB147" t="s">
        <v>848</v>
      </c>
      <c r="CL147" t="s">
        <v>102</v>
      </c>
      <c r="CM147" t="s">
        <v>102</v>
      </c>
      <c r="CN147" t="s">
        <v>193</v>
      </c>
      <c r="CO147" s="1">
        <v>37723</v>
      </c>
      <c r="CP147" s="1">
        <v>43634</v>
      </c>
    </row>
    <row r="148" spans="1:94" x14ac:dyDescent="0.25">
      <c r="A148" t="s">
        <v>851</v>
      </c>
      <c r="B148" t="str">
        <f xml:space="preserve"> "" &amp; 840254035768</f>
        <v>840254035768</v>
      </c>
      <c r="C148" t="s">
        <v>852</v>
      </c>
      <c r="D148" t="s">
        <v>852</v>
      </c>
      <c r="F148" t="s">
        <v>98</v>
      </c>
      <c r="G148">
        <v>1</v>
      </c>
      <c r="H148">
        <v>1</v>
      </c>
      <c r="I148" t="s">
        <v>99</v>
      </c>
      <c r="J148" s="4">
        <v>4995</v>
      </c>
      <c r="K148" s="4">
        <v>14985</v>
      </c>
      <c r="O148" t="s">
        <v>100</v>
      </c>
      <c r="P148" s="4">
        <v>10489.95</v>
      </c>
      <c r="S148">
        <v>100</v>
      </c>
      <c r="U148">
        <v>69.25</v>
      </c>
      <c r="W148">
        <v>203.05</v>
      </c>
      <c r="X148">
        <v>2</v>
      </c>
      <c r="Y148">
        <v>41</v>
      </c>
      <c r="Z148">
        <v>71</v>
      </c>
      <c r="AA148">
        <v>71</v>
      </c>
      <c r="AB148">
        <v>119.607</v>
      </c>
      <c r="AC148">
        <v>301.62</v>
      </c>
      <c r="AE148">
        <v>24</v>
      </c>
      <c r="AF148" t="s">
        <v>161</v>
      </c>
      <c r="AG148">
        <v>60</v>
      </c>
      <c r="AK148" t="s">
        <v>102</v>
      </c>
      <c r="AM148" t="s">
        <v>102</v>
      </c>
      <c r="AN148" t="s">
        <v>100</v>
      </c>
      <c r="AO148" t="s">
        <v>102</v>
      </c>
      <c r="AP148" t="s">
        <v>103</v>
      </c>
      <c r="AQ148" t="s">
        <v>104</v>
      </c>
      <c r="AV148" t="s">
        <v>102</v>
      </c>
      <c r="AX148" t="s">
        <v>853</v>
      </c>
      <c r="AZ148" t="s">
        <v>163</v>
      </c>
      <c r="BF148" t="s">
        <v>854</v>
      </c>
      <c r="BG148" t="s">
        <v>102</v>
      </c>
      <c r="BH148" t="s">
        <v>102</v>
      </c>
      <c r="BI148" t="s">
        <v>102</v>
      </c>
      <c r="BK148" t="s">
        <v>107</v>
      </c>
      <c r="CA148" t="s">
        <v>855</v>
      </c>
      <c r="CB148" t="s">
        <v>853</v>
      </c>
      <c r="CL148" t="s">
        <v>102</v>
      </c>
      <c r="CM148" t="s">
        <v>102</v>
      </c>
      <c r="CN148" t="s">
        <v>424</v>
      </c>
      <c r="CO148" s="1">
        <v>40388</v>
      </c>
      <c r="CP148" s="1">
        <v>43634</v>
      </c>
    </row>
    <row r="149" spans="1:94" x14ac:dyDescent="0.25">
      <c r="A149" t="s">
        <v>856</v>
      </c>
      <c r="B149" t="str">
        <f xml:space="preserve"> "" &amp; 840254020795</f>
        <v>840254020795</v>
      </c>
      <c r="C149" t="s">
        <v>852</v>
      </c>
      <c r="D149" t="s">
        <v>852</v>
      </c>
      <c r="F149" t="s">
        <v>98</v>
      </c>
      <c r="G149">
        <v>1</v>
      </c>
      <c r="H149">
        <v>1</v>
      </c>
      <c r="I149" t="s">
        <v>99</v>
      </c>
      <c r="J149" s="4">
        <v>3295</v>
      </c>
      <c r="K149" s="4">
        <v>9885</v>
      </c>
      <c r="O149" t="s">
        <v>100</v>
      </c>
      <c r="P149" s="4">
        <v>6919.95</v>
      </c>
      <c r="S149">
        <v>63</v>
      </c>
      <c r="U149">
        <v>51</v>
      </c>
      <c r="W149">
        <v>160.72</v>
      </c>
      <c r="X149">
        <v>1</v>
      </c>
      <c r="Y149">
        <v>58.5</v>
      </c>
      <c r="Z149">
        <v>58.5</v>
      </c>
      <c r="AA149">
        <v>50.5</v>
      </c>
      <c r="AB149">
        <v>100.014</v>
      </c>
      <c r="AC149">
        <v>244.05</v>
      </c>
      <c r="AE149">
        <v>24</v>
      </c>
      <c r="AF149" t="s">
        <v>187</v>
      </c>
      <c r="AG149">
        <v>60</v>
      </c>
      <c r="AK149" t="s">
        <v>102</v>
      </c>
      <c r="AL149">
        <v>24</v>
      </c>
      <c r="AM149" t="s">
        <v>102</v>
      </c>
      <c r="AN149" t="s">
        <v>100</v>
      </c>
      <c r="AO149" t="s">
        <v>102</v>
      </c>
      <c r="AP149" t="s">
        <v>103</v>
      </c>
      <c r="AQ149" t="s">
        <v>104</v>
      </c>
      <c r="AV149" t="s">
        <v>102</v>
      </c>
      <c r="AX149" t="s">
        <v>848</v>
      </c>
      <c r="AZ149" t="s">
        <v>163</v>
      </c>
      <c r="BF149" t="s">
        <v>857</v>
      </c>
      <c r="BG149" t="s">
        <v>102</v>
      </c>
      <c r="BH149" t="s">
        <v>102</v>
      </c>
      <c r="BI149" t="s">
        <v>102</v>
      </c>
      <c r="BK149" t="s">
        <v>107</v>
      </c>
      <c r="CA149" t="s">
        <v>858</v>
      </c>
      <c r="CB149" t="s">
        <v>848</v>
      </c>
      <c r="CL149" t="s">
        <v>102</v>
      </c>
      <c r="CM149" t="s">
        <v>102</v>
      </c>
      <c r="CN149" t="s">
        <v>193</v>
      </c>
      <c r="CO149" s="1">
        <v>40401</v>
      </c>
      <c r="CP149" s="1">
        <v>43634</v>
      </c>
    </row>
    <row r="150" spans="1:94" x14ac:dyDescent="0.25">
      <c r="A150" t="s">
        <v>859</v>
      </c>
      <c r="B150" t="str">
        <f xml:space="preserve"> "" &amp; 840254027510</f>
        <v>840254027510</v>
      </c>
      <c r="C150" t="s">
        <v>381</v>
      </c>
      <c r="D150" t="s">
        <v>860</v>
      </c>
      <c r="E150" t="s">
        <v>326</v>
      </c>
      <c r="F150" t="s">
        <v>371</v>
      </c>
      <c r="G150">
        <v>1</v>
      </c>
      <c r="H150">
        <v>1</v>
      </c>
      <c r="I150" t="s">
        <v>99</v>
      </c>
      <c r="J150" s="4">
        <v>325</v>
      </c>
      <c r="K150" s="4">
        <v>975</v>
      </c>
      <c r="O150" t="s">
        <v>100</v>
      </c>
      <c r="P150" s="4">
        <v>684.95</v>
      </c>
      <c r="S150">
        <v>39</v>
      </c>
      <c r="U150">
        <v>18.5</v>
      </c>
      <c r="W150">
        <v>26.46</v>
      </c>
      <c r="X150">
        <v>1</v>
      </c>
      <c r="Y150">
        <v>18.5</v>
      </c>
      <c r="Z150">
        <v>25.5</v>
      </c>
      <c r="AA150">
        <v>18.5</v>
      </c>
      <c r="AB150">
        <v>5.0510000000000002</v>
      </c>
      <c r="AC150">
        <v>32.19</v>
      </c>
      <c r="AE150">
        <v>3</v>
      </c>
      <c r="AF150" t="s">
        <v>333</v>
      </c>
      <c r="AG150">
        <v>60</v>
      </c>
      <c r="AH150">
        <v>0</v>
      </c>
      <c r="AJ150">
        <v>0</v>
      </c>
      <c r="AK150" t="s">
        <v>102</v>
      </c>
      <c r="AM150" t="s">
        <v>102</v>
      </c>
      <c r="AN150" t="s">
        <v>102</v>
      </c>
      <c r="AO150" t="s">
        <v>100</v>
      </c>
      <c r="AP150" t="s">
        <v>117</v>
      </c>
      <c r="AQ150" t="s">
        <v>104</v>
      </c>
      <c r="AV150" t="s">
        <v>102</v>
      </c>
      <c r="AX150" t="s">
        <v>327</v>
      </c>
      <c r="AZ150" t="s">
        <v>163</v>
      </c>
      <c r="BB150" t="s">
        <v>118</v>
      </c>
      <c r="BC150" t="s">
        <v>334</v>
      </c>
      <c r="BF150" t="s">
        <v>861</v>
      </c>
      <c r="BG150" t="s">
        <v>102</v>
      </c>
      <c r="BH150" t="s">
        <v>102</v>
      </c>
      <c r="BI150" t="s">
        <v>102</v>
      </c>
      <c r="BK150" t="s">
        <v>107</v>
      </c>
      <c r="BT150">
        <v>5.63</v>
      </c>
      <c r="CA150" t="s">
        <v>862</v>
      </c>
      <c r="CB150" t="s">
        <v>327</v>
      </c>
      <c r="CL150" t="s">
        <v>102</v>
      </c>
      <c r="CM150" t="s">
        <v>102</v>
      </c>
      <c r="CN150" t="s">
        <v>343</v>
      </c>
      <c r="CO150" s="1">
        <v>38622</v>
      </c>
      <c r="CP150" s="1">
        <v>43634</v>
      </c>
    </row>
    <row r="151" spans="1:94" x14ac:dyDescent="0.25">
      <c r="A151" t="s">
        <v>863</v>
      </c>
      <c r="B151" t="str">
        <f xml:space="preserve"> "" &amp; 840254027534</f>
        <v>840254027534</v>
      </c>
      <c r="C151" t="s">
        <v>864</v>
      </c>
      <c r="D151" t="s">
        <v>865</v>
      </c>
      <c r="E151" t="s">
        <v>326</v>
      </c>
      <c r="F151" t="s">
        <v>98</v>
      </c>
      <c r="G151">
        <v>1</v>
      </c>
      <c r="H151">
        <v>1</v>
      </c>
      <c r="I151" t="s">
        <v>99</v>
      </c>
      <c r="J151" s="4">
        <v>525</v>
      </c>
      <c r="K151" s="4">
        <v>1575</v>
      </c>
      <c r="O151" t="s">
        <v>100</v>
      </c>
      <c r="P151" s="4">
        <v>1104.95</v>
      </c>
      <c r="S151">
        <v>33.5</v>
      </c>
      <c r="T151">
        <v>40</v>
      </c>
      <c r="U151">
        <v>21</v>
      </c>
      <c r="W151">
        <v>30.31</v>
      </c>
      <c r="X151">
        <v>1</v>
      </c>
      <c r="Y151">
        <v>34</v>
      </c>
      <c r="Z151">
        <v>41.5</v>
      </c>
      <c r="AA151">
        <v>22</v>
      </c>
      <c r="AB151">
        <v>17.963999999999999</v>
      </c>
      <c r="AC151">
        <v>44.2</v>
      </c>
      <c r="AE151">
        <v>6</v>
      </c>
      <c r="AF151" t="s">
        <v>176</v>
      </c>
      <c r="AG151">
        <v>60</v>
      </c>
      <c r="AH151">
        <v>0</v>
      </c>
      <c r="AJ151">
        <v>0</v>
      </c>
      <c r="AK151" t="s">
        <v>102</v>
      </c>
      <c r="AM151" t="s">
        <v>102</v>
      </c>
      <c r="AN151" t="s">
        <v>102</v>
      </c>
      <c r="AO151" t="s">
        <v>100</v>
      </c>
      <c r="AP151" t="s">
        <v>103</v>
      </c>
      <c r="AQ151" t="s">
        <v>104</v>
      </c>
      <c r="AV151" t="s">
        <v>102</v>
      </c>
      <c r="AX151" t="s">
        <v>327</v>
      </c>
      <c r="AZ151" t="s">
        <v>163</v>
      </c>
      <c r="BF151" t="s">
        <v>866</v>
      </c>
      <c r="BG151" t="s">
        <v>102</v>
      </c>
      <c r="BH151" t="s">
        <v>102</v>
      </c>
      <c r="BI151" t="s">
        <v>102</v>
      </c>
      <c r="BK151" t="s">
        <v>107</v>
      </c>
      <c r="BR151">
        <v>0.75</v>
      </c>
      <c r="BS151">
        <v>10.63</v>
      </c>
      <c r="BT151">
        <v>0.75</v>
      </c>
      <c r="CA151" t="s">
        <v>867</v>
      </c>
      <c r="CB151" t="s">
        <v>327</v>
      </c>
      <c r="CL151" t="s">
        <v>102</v>
      </c>
      <c r="CM151" t="s">
        <v>102</v>
      </c>
      <c r="CN151" t="s">
        <v>868</v>
      </c>
      <c r="CO151" s="1">
        <v>38624</v>
      </c>
      <c r="CP151" s="1">
        <v>43634</v>
      </c>
    </row>
    <row r="152" spans="1:94" x14ac:dyDescent="0.25">
      <c r="A152" t="s">
        <v>869</v>
      </c>
      <c r="B152" t="str">
        <f xml:space="preserve"> "" &amp; 840254023697</f>
        <v>840254023697</v>
      </c>
      <c r="C152" t="s">
        <v>740</v>
      </c>
      <c r="D152" t="s">
        <v>870</v>
      </c>
      <c r="E152" t="s">
        <v>326</v>
      </c>
      <c r="F152" t="s">
        <v>98</v>
      </c>
      <c r="G152">
        <v>1</v>
      </c>
      <c r="H152">
        <v>1</v>
      </c>
      <c r="I152" t="s">
        <v>99</v>
      </c>
      <c r="J152" s="4">
        <v>575</v>
      </c>
      <c r="K152" s="4">
        <v>1725</v>
      </c>
      <c r="O152" t="s">
        <v>100</v>
      </c>
      <c r="P152" s="4">
        <v>1209.95</v>
      </c>
      <c r="S152">
        <v>34</v>
      </c>
      <c r="U152">
        <v>27</v>
      </c>
      <c r="W152">
        <v>27.71</v>
      </c>
      <c r="X152">
        <v>1</v>
      </c>
      <c r="Y152">
        <v>34</v>
      </c>
      <c r="Z152">
        <v>30.5</v>
      </c>
      <c r="AA152">
        <v>27.5</v>
      </c>
      <c r="AB152">
        <v>16.503</v>
      </c>
      <c r="AC152">
        <v>45.53</v>
      </c>
      <c r="AE152">
        <v>6</v>
      </c>
      <c r="AF152" t="s">
        <v>176</v>
      </c>
      <c r="AG152">
        <v>60</v>
      </c>
      <c r="AH152">
        <v>0</v>
      </c>
      <c r="AJ152">
        <v>0</v>
      </c>
      <c r="AK152" t="s">
        <v>102</v>
      </c>
      <c r="AL152">
        <v>6</v>
      </c>
      <c r="AM152" t="s">
        <v>102</v>
      </c>
      <c r="AN152" t="s">
        <v>100</v>
      </c>
      <c r="AO152" t="s">
        <v>102</v>
      </c>
      <c r="AP152" t="s">
        <v>103</v>
      </c>
      <c r="AQ152" t="s">
        <v>104</v>
      </c>
      <c r="AV152" t="s">
        <v>102</v>
      </c>
      <c r="AX152" t="s">
        <v>327</v>
      </c>
      <c r="AZ152" t="s">
        <v>163</v>
      </c>
      <c r="BF152" t="s">
        <v>871</v>
      </c>
      <c r="BG152" t="s">
        <v>102</v>
      </c>
      <c r="BH152" t="s">
        <v>102</v>
      </c>
      <c r="BI152" t="s">
        <v>102</v>
      </c>
      <c r="BK152" t="s">
        <v>107</v>
      </c>
      <c r="BT152">
        <v>7.75</v>
      </c>
      <c r="CA152" t="s">
        <v>872</v>
      </c>
      <c r="CB152" t="s">
        <v>327</v>
      </c>
      <c r="CL152" t="s">
        <v>102</v>
      </c>
      <c r="CM152" t="s">
        <v>102</v>
      </c>
      <c r="CN152" t="s">
        <v>193</v>
      </c>
      <c r="CO152" s="1">
        <v>37805</v>
      </c>
      <c r="CP152" s="1">
        <v>43634</v>
      </c>
    </row>
    <row r="153" spans="1:94" x14ac:dyDescent="0.25">
      <c r="A153" t="s">
        <v>873</v>
      </c>
      <c r="B153" t="str">
        <f xml:space="preserve"> "" &amp; 840254020801</f>
        <v>840254020801</v>
      </c>
      <c r="C153" t="s">
        <v>111</v>
      </c>
      <c r="D153" t="s">
        <v>874</v>
      </c>
      <c r="E153" t="s">
        <v>326</v>
      </c>
      <c r="F153" t="s">
        <v>98</v>
      </c>
      <c r="G153">
        <v>1</v>
      </c>
      <c r="H153">
        <v>1</v>
      </c>
      <c r="I153" t="s">
        <v>99</v>
      </c>
      <c r="J153" s="4">
        <v>795</v>
      </c>
      <c r="K153" s="4">
        <v>2385</v>
      </c>
      <c r="O153" t="s">
        <v>100</v>
      </c>
      <c r="P153" s="4">
        <v>1669.95</v>
      </c>
      <c r="S153">
        <v>40</v>
      </c>
      <c r="U153">
        <v>34</v>
      </c>
      <c r="W153">
        <v>40.79</v>
      </c>
      <c r="X153">
        <v>1</v>
      </c>
      <c r="Y153">
        <v>40.5</v>
      </c>
      <c r="Z153">
        <v>34.5</v>
      </c>
      <c r="AA153">
        <v>34.5</v>
      </c>
      <c r="AB153">
        <v>27.896000000000001</v>
      </c>
      <c r="AC153">
        <v>58.86</v>
      </c>
      <c r="AE153">
        <v>8</v>
      </c>
      <c r="AF153" t="s">
        <v>176</v>
      </c>
      <c r="AG153">
        <v>60</v>
      </c>
      <c r="AH153">
        <v>0</v>
      </c>
      <c r="AJ153">
        <v>0</v>
      </c>
      <c r="AK153" t="s">
        <v>102</v>
      </c>
      <c r="AL153">
        <v>8</v>
      </c>
      <c r="AM153" t="s">
        <v>102</v>
      </c>
      <c r="AN153" t="s">
        <v>102</v>
      </c>
      <c r="AO153" t="s">
        <v>100</v>
      </c>
      <c r="AP153" t="s">
        <v>103</v>
      </c>
      <c r="AQ153" t="s">
        <v>104</v>
      </c>
      <c r="AV153" t="s">
        <v>102</v>
      </c>
      <c r="AX153" t="s">
        <v>327</v>
      </c>
      <c r="AZ153" t="s">
        <v>163</v>
      </c>
      <c r="BF153" t="s">
        <v>875</v>
      </c>
      <c r="BG153" t="s">
        <v>102</v>
      </c>
      <c r="BH153" t="s">
        <v>102</v>
      </c>
      <c r="BI153" t="s">
        <v>102</v>
      </c>
      <c r="BK153" t="s">
        <v>107</v>
      </c>
      <c r="BR153">
        <v>2.25</v>
      </c>
      <c r="BT153">
        <v>7.75</v>
      </c>
      <c r="CA153" t="s">
        <v>876</v>
      </c>
      <c r="CB153" t="s">
        <v>327</v>
      </c>
      <c r="CL153" t="s">
        <v>102</v>
      </c>
      <c r="CM153" t="s">
        <v>102</v>
      </c>
      <c r="CN153" t="s">
        <v>193</v>
      </c>
      <c r="CO153" s="1">
        <v>37722</v>
      </c>
      <c r="CP153" s="1">
        <v>43634</v>
      </c>
    </row>
    <row r="154" spans="1:94" x14ac:dyDescent="0.25">
      <c r="A154" t="s">
        <v>877</v>
      </c>
      <c r="B154" t="str">
        <f xml:space="preserve"> "" &amp; 840254020818</f>
        <v>840254020818</v>
      </c>
      <c r="C154" t="s">
        <v>95</v>
      </c>
      <c r="D154" t="s">
        <v>878</v>
      </c>
      <c r="E154" t="s">
        <v>326</v>
      </c>
      <c r="F154" t="s">
        <v>98</v>
      </c>
      <c r="G154">
        <v>1</v>
      </c>
      <c r="H154">
        <v>1</v>
      </c>
      <c r="I154" t="s">
        <v>99</v>
      </c>
      <c r="J154" s="4">
        <v>1250</v>
      </c>
      <c r="K154" s="4">
        <v>3750</v>
      </c>
      <c r="O154" t="s">
        <v>100</v>
      </c>
      <c r="P154" s="4">
        <v>2624.95</v>
      </c>
      <c r="S154">
        <v>43</v>
      </c>
      <c r="U154">
        <v>44</v>
      </c>
      <c r="W154">
        <v>62.39</v>
      </c>
      <c r="X154">
        <v>1</v>
      </c>
      <c r="Y154">
        <v>42.5</v>
      </c>
      <c r="Z154">
        <v>45.5</v>
      </c>
      <c r="AA154">
        <v>45.5</v>
      </c>
      <c r="AB154">
        <v>50.917999999999999</v>
      </c>
      <c r="AC154">
        <v>100.09</v>
      </c>
      <c r="AE154">
        <v>12</v>
      </c>
      <c r="AF154" t="s">
        <v>176</v>
      </c>
      <c r="AG154">
        <v>60</v>
      </c>
      <c r="AH154">
        <v>0</v>
      </c>
      <c r="AJ154">
        <v>0</v>
      </c>
      <c r="AK154" t="s">
        <v>102</v>
      </c>
      <c r="AL154">
        <v>12</v>
      </c>
      <c r="AM154" t="s">
        <v>102</v>
      </c>
      <c r="AN154" t="s">
        <v>100</v>
      </c>
      <c r="AO154" t="s">
        <v>102</v>
      </c>
      <c r="AP154" t="s">
        <v>103</v>
      </c>
      <c r="AQ154" t="s">
        <v>104</v>
      </c>
      <c r="AV154" t="s">
        <v>102</v>
      </c>
      <c r="AX154" t="s">
        <v>327</v>
      </c>
      <c r="AZ154" t="s">
        <v>163</v>
      </c>
      <c r="BF154" t="s">
        <v>879</v>
      </c>
      <c r="BG154" t="s">
        <v>102</v>
      </c>
      <c r="BH154" t="s">
        <v>102</v>
      </c>
      <c r="BI154" t="s">
        <v>102</v>
      </c>
      <c r="BK154" t="s">
        <v>107</v>
      </c>
      <c r="CA154" t="s">
        <v>880</v>
      </c>
      <c r="CB154" t="s">
        <v>327</v>
      </c>
      <c r="CL154" t="s">
        <v>102</v>
      </c>
      <c r="CM154" t="s">
        <v>102</v>
      </c>
      <c r="CN154" t="s">
        <v>193</v>
      </c>
      <c r="CO154" s="1">
        <v>37722</v>
      </c>
      <c r="CP154" s="1">
        <v>43634</v>
      </c>
    </row>
    <row r="155" spans="1:94" x14ac:dyDescent="0.25">
      <c r="A155" t="s">
        <v>881</v>
      </c>
      <c r="B155" t="str">
        <f xml:space="preserve"> "" &amp; 840254027541</f>
        <v>840254027541</v>
      </c>
      <c r="C155" t="s">
        <v>744</v>
      </c>
      <c r="D155" t="s">
        <v>882</v>
      </c>
      <c r="E155" t="s">
        <v>326</v>
      </c>
      <c r="F155" t="s">
        <v>371</v>
      </c>
      <c r="G155">
        <v>1</v>
      </c>
      <c r="H155">
        <v>1</v>
      </c>
      <c r="I155" t="s">
        <v>99</v>
      </c>
      <c r="J155" s="4">
        <v>120</v>
      </c>
      <c r="K155" s="4">
        <v>360</v>
      </c>
      <c r="O155" t="s">
        <v>100</v>
      </c>
      <c r="P155" s="4">
        <v>254.95</v>
      </c>
      <c r="S155">
        <v>16.75</v>
      </c>
      <c r="T155">
        <v>10</v>
      </c>
      <c r="U155">
        <v>10</v>
      </c>
      <c r="W155">
        <v>9.92</v>
      </c>
      <c r="X155">
        <v>1</v>
      </c>
      <c r="Y155">
        <v>7.5</v>
      </c>
      <c r="Z155">
        <v>16.5</v>
      </c>
      <c r="AA155">
        <v>12.5</v>
      </c>
      <c r="AB155">
        <v>0.89500000000000002</v>
      </c>
      <c r="AC155">
        <v>11.35</v>
      </c>
      <c r="AE155">
        <v>1</v>
      </c>
      <c r="AF155" t="s">
        <v>333</v>
      </c>
      <c r="AG155">
        <v>100</v>
      </c>
      <c r="AH155">
        <v>0</v>
      </c>
      <c r="AJ155">
        <v>0</v>
      </c>
      <c r="AK155" t="s">
        <v>102</v>
      </c>
      <c r="AM155" t="s">
        <v>102</v>
      </c>
      <c r="AN155" t="s">
        <v>100</v>
      </c>
      <c r="AO155" t="s">
        <v>102</v>
      </c>
      <c r="AP155" t="s">
        <v>117</v>
      </c>
      <c r="AQ155" t="s">
        <v>104</v>
      </c>
      <c r="AV155" t="s">
        <v>102</v>
      </c>
      <c r="AX155" t="s">
        <v>327</v>
      </c>
      <c r="AZ155" t="s">
        <v>163</v>
      </c>
      <c r="BB155" t="s">
        <v>118</v>
      </c>
      <c r="BC155" t="s">
        <v>334</v>
      </c>
      <c r="BF155" t="s">
        <v>883</v>
      </c>
      <c r="BG155" t="s">
        <v>102</v>
      </c>
      <c r="BH155" t="s">
        <v>102</v>
      </c>
      <c r="BI155" t="s">
        <v>102</v>
      </c>
      <c r="BK155" t="s">
        <v>107</v>
      </c>
      <c r="BR155">
        <v>1.88</v>
      </c>
      <c r="BT155">
        <v>5.63</v>
      </c>
      <c r="CA155" t="s">
        <v>884</v>
      </c>
      <c r="CB155" t="s">
        <v>327</v>
      </c>
      <c r="CL155" t="s">
        <v>100</v>
      </c>
      <c r="CM155" t="s">
        <v>102</v>
      </c>
      <c r="CN155" t="s">
        <v>343</v>
      </c>
      <c r="CO155" s="1">
        <v>38624</v>
      </c>
      <c r="CP155" s="1">
        <v>43634</v>
      </c>
    </row>
    <row r="156" spans="1:94" x14ac:dyDescent="0.25">
      <c r="A156" t="s">
        <v>885</v>
      </c>
      <c r="B156" t="str">
        <f xml:space="preserve"> "" &amp; 840254027558</f>
        <v>840254027558</v>
      </c>
      <c r="C156" t="s">
        <v>708</v>
      </c>
      <c r="D156" t="s">
        <v>886</v>
      </c>
      <c r="E156" t="s">
        <v>326</v>
      </c>
      <c r="F156" t="s">
        <v>710</v>
      </c>
      <c r="G156">
        <v>1</v>
      </c>
      <c r="H156">
        <v>1</v>
      </c>
      <c r="I156" t="s">
        <v>99</v>
      </c>
      <c r="J156" s="4">
        <v>205</v>
      </c>
      <c r="K156" s="4">
        <v>615</v>
      </c>
      <c r="O156" t="s">
        <v>100</v>
      </c>
      <c r="P156" s="4">
        <v>429.95</v>
      </c>
      <c r="S156">
        <v>19</v>
      </c>
      <c r="U156">
        <v>19.5</v>
      </c>
      <c r="W156">
        <v>8.82</v>
      </c>
      <c r="X156">
        <v>1</v>
      </c>
      <c r="Y156">
        <v>19</v>
      </c>
      <c r="Z156">
        <v>21.5</v>
      </c>
      <c r="AA156">
        <v>21.5</v>
      </c>
      <c r="AB156">
        <v>5.0830000000000002</v>
      </c>
      <c r="AC156">
        <v>15.87</v>
      </c>
      <c r="AE156">
        <v>3</v>
      </c>
      <c r="AF156" t="s">
        <v>887</v>
      </c>
      <c r="AG156">
        <v>60</v>
      </c>
      <c r="AH156">
        <v>0</v>
      </c>
      <c r="AJ156">
        <v>0</v>
      </c>
      <c r="AK156" t="s">
        <v>102</v>
      </c>
      <c r="AM156" t="s">
        <v>102</v>
      </c>
      <c r="AN156" t="s">
        <v>102</v>
      </c>
      <c r="AO156" t="s">
        <v>100</v>
      </c>
      <c r="AP156" t="s">
        <v>117</v>
      </c>
      <c r="AQ156" t="s">
        <v>104</v>
      </c>
      <c r="AV156" t="s">
        <v>102</v>
      </c>
      <c r="AX156" t="s">
        <v>327</v>
      </c>
      <c r="AZ156" t="s">
        <v>163</v>
      </c>
      <c r="BB156" t="s">
        <v>118</v>
      </c>
      <c r="BC156" t="s">
        <v>334</v>
      </c>
      <c r="BF156" t="s">
        <v>888</v>
      </c>
      <c r="BG156" t="s">
        <v>102</v>
      </c>
      <c r="BH156" t="s">
        <v>102</v>
      </c>
      <c r="BI156" t="s">
        <v>102</v>
      </c>
      <c r="BK156" t="s">
        <v>107</v>
      </c>
      <c r="BR156">
        <v>5.13</v>
      </c>
      <c r="BT156">
        <v>12.63</v>
      </c>
      <c r="CA156" t="s">
        <v>889</v>
      </c>
      <c r="CB156" t="s">
        <v>327</v>
      </c>
      <c r="CL156" t="s">
        <v>102</v>
      </c>
      <c r="CM156" t="s">
        <v>102</v>
      </c>
      <c r="CN156" t="s">
        <v>343</v>
      </c>
      <c r="CO156" s="1">
        <v>38622</v>
      </c>
      <c r="CP156" s="1">
        <v>43634</v>
      </c>
    </row>
    <row r="157" spans="1:94" x14ac:dyDescent="0.25">
      <c r="A157" t="s">
        <v>890</v>
      </c>
      <c r="B157" t="str">
        <f xml:space="preserve"> "" &amp; 840254027565</f>
        <v>840254027565</v>
      </c>
      <c r="C157" t="s">
        <v>891</v>
      </c>
      <c r="D157" t="s">
        <v>892</v>
      </c>
      <c r="E157" t="s">
        <v>326</v>
      </c>
      <c r="F157" t="s">
        <v>371</v>
      </c>
      <c r="G157">
        <v>1</v>
      </c>
      <c r="H157">
        <v>1</v>
      </c>
      <c r="I157" t="s">
        <v>99</v>
      </c>
      <c r="J157" s="4">
        <v>475</v>
      </c>
      <c r="K157" s="4">
        <v>1425</v>
      </c>
      <c r="O157" t="s">
        <v>100</v>
      </c>
      <c r="P157" s="4">
        <v>999.95</v>
      </c>
      <c r="S157">
        <v>40</v>
      </c>
      <c r="U157">
        <v>34</v>
      </c>
      <c r="W157">
        <v>29.76</v>
      </c>
      <c r="X157">
        <v>1</v>
      </c>
      <c r="Y157">
        <v>13.5</v>
      </c>
      <c r="Z157">
        <v>35</v>
      </c>
      <c r="AA157">
        <v>31.5</v>
      </c>
      <c r="AB157">
        <v>8.6129999999999995</v>
      </c>
      <c r="AC157">
        <v>39.46</v>
      </c>
      <c r="AE157">
        <v>5</v>
      </c>
      <c r="AF157" t="s">
        <v>333</v>
      </c>
      <c r="AG157">
        <v>100</v>
      </c>
      <c r="AH157">
        <v>0</v>
      </c>
      <c r="AJ157">
        <v>0</v>
      </c>
      <c r="AK157" t="s">
        <v>102</v>
      </c>
      <c r="AM157" t="s">
        <v>102</v>
      </c>
      <c r="AN157" t="s">
        <v>102</v>
      </c>
      <c r="AO157" t="s">
        <v>100</v>
      </c>
      <c r="AP157" t="s">
        <v>103</v>
      </c>
      <c r="AQ157" t="s">
        <v>104</v>
      </c>
      <c r="AV157" t="s">
        <v>102</v>
      </c>
      <c r="AX157" t="s">
        <v>327</v>
      </c>
      <c r="AZ157" t="s">
        <v>163</v>
      </c>
      <c r="BB157" t="s">
        <v>118</v>
      </c>
      <c r="BC157" t="s">
        <v>334</v>
      </c>
      <c r="BF157" t="s">
        <v>893</v>
      </c>
      <c r="BG157" t="s">
        <v>102</v>
      </c>
      <c r="BH157" t="s">
        <v>102</v>
      </c>
      <c r="BI157" t="s">
        <v>102</v>
      </c>
      <c r="BK157" t="s">
        <v>107</v>
      </c>
      <c r="BT157">
        <v>5.63</v>
      </c>
      <c r="CA157" t="s">
        <v>894</v>
      </c>
      <c r="CB157" t="s">
        <v>327</v>
      </c>
      <c r="CL157" t="s">
        <v>102</v>
      </c>
      <c r="CM157" t="s">
        <v>102</v>
      </c>
      <c r="CN157" t="s">
        <v>343</v>
      </c>
      <c r="CO157" s="1">
        <v>38622</v>
      </c>
      <c r="CP157" s="1">
        <v>43634</v>
      </c>
    </row>
    <row r="158" spans="1:94" x14ac:dyDescent="0.25">
      <c r="A158" t="s">
        <v>895</v>
      </c>
      <c r="B158" t="str">
        <f xml:space="preserve"> "" &amp; 840254030381</f>
        <v>840254030381</v>
      </c>
      <c r="C158" t="s">
        <v>381</v>
      </c>
      <c r="D158" t="s">
        <v>860</v>
      </c>
      <c r="E158" t="s">
        <v>326</v>
      </c>
      <c r="F158" t="s">
        <v>371</v>
      </c>
      <c r="G158">
        <v>1</v>
      </c>
      <c r="H158">
        <v>1</v>
      </c>
      <c r="I158" t="s">
        <v>99</v>
      </c>
      <c r="J158" s="4">
        <v>275</v>
      </c>
      <c r="K158" s="4">
        <v>825</v>
      </c>
      <c r="O158" t="s">
        <v>100</v>
      </c>
      <c r="P158" s="4">
        <v>579.95000000000005</v>
      </c>
      <c r="S158">
        <v>23</v>
      </c>
      <c r="U158">
        <v>11.25</v>
      </c>
      <c r="W158">
        <v>18.850000000000001</v>
      </c>
      <c r="X158">
        <v>1</v>
      </c>
      <c r="Y158">
        <v>16.5</v>
      </c>
      <c r="Z158">
        <v>21.5</v>
      </c>
      <c r="AA158">
        <v>10.5</v>
      </c>
      <c r="AB158">
        <v>2.1560000000000001</v>
      </c>
      <c r="AC158">
        <v>22.05</v>
      </c>
      <c r="AE158">
        <v>3</v>
      </c>
      <c r="AF158" t="s">
        <v>176</v>
      </c>
      <c r="AG158">
        <v>60</v>
      </c>
      <c r="AH158">
        <v>0</v>
      </c>
      <c r="AJ158">
        <v>0</v>
      </c>
      <c r="AK158" t="s">
        <v>102</v>
      </c>
      <c r="AM158" t="s">
        <v>102</v>
      </c>
      <c r="AN158" t="s">
        <v>102</v>
      </c>
      <c r="AO158" t="s">
        <v>100</v>
      </c>
      <c r="AP158" t="s">
        <v>117</v>
      </c>
      <c r="AQ158" t="s">
        <v>104</v>
      </c>
      <c r="AV158" t="s">
        <v>102</v>
      </c>
      <c r="AX158" t="s">
        <v>327</v>
      </c>
      <c r="AZ158" t="s">
        <v>163</v>
      </c>
      <c r="BB158" t="s">
        <v>118</v>
      </c>
      <c r="BC158" t="s">
        <v>334</v>
      </c>
      <c r="BF158" t="s">
        <v>896</v>
      </c>
      <c r="BG158" t="s">
        <v>102</v>
      </c>
      <c r="BH158" t="s">
        <v>102</v>
      </c>
      <c r="BI158" t="s">
        <v>102</v>
      </c>
      <c r="BK158" t="s">
        <v>107</v>
      </c>
      <c r="CA158" t="s">
        <v>897</v>
      </c>
      <c r="CB158" t="s">
        <v>327</v>
      </c>
      <c r="CL158" t="s">
        <v>102</v>
      </c>
      <c r="CM158" t="s">
        <v>102</v>
      </c>
      <c r="CN158" t="s">
        <v>343</v>
      </c>
      <c r="CO158" s="1">
        <v>38929</v>
      </c>
      <c r="CP158" s="1">
        <v>43634</v>
      </c>
    </row>
    <row r="159" spans="1:94" x14ac:dyDescent="0.25">
      <c r="A159" t="s">
        <v>898</v>
      </c>
      <c r="B159" t="str">
        <f xml:space="preserve"> "" &amp; 840254030251</f>
        <v>840254030251</v>
      </c>
      <c r="C159" t="s">
        <v>899</v>
      </c>
      <c r="D159" t="s">
        <v>900</v>
      </c>
      <c r="E159" t="s">
        <v>326</v>
      </c>
      <c r="F159" t="s">
        <v>98</v>
      </c>
      <c r="G159">
        <v>1</v>
      </c>
      <c r="H159">
        <v>1</v>
      </c>
      <c r="I159" t="s">
        <v>99</v>
      </c>
      <c r="J159" s="4">
        <v>1495</v>
      </c>
      <c r="K159" s="4">
        <v>4485</v>
      </c>
      <c r="O159" t="s">
        <v>100</v>
      </c>
      <c r="P159" s="4">
        <v>3139.95</v>
      </c>
      <c r="S159">
        <v>60</v>
      </c>
      <c r="U159">
        <v>71.25</v>
      </c>
      <c r="W159">
        <v>73.849999999999994</v>
      </c>
      <c r="X159">
        <v>1</v>
      </c>
      <c r="Y159">
        <v>59</v>
      </c>
      <c r="Z159">
        <v>74</v>
      </c>
      <c r="AA159">
        <v>31</v>
      </c>
      <c r="AB159">
        <v>78.325000000000003</v>
      </c>
      <c r="AC159">
        <v>131.06</v>
      </c>
      <c r="AE159">
        <v>20</v>
      </c>
      <c r="AF159" t="s">
        <v>176</v>
      </c>
      <c r="AG159">
        <v>60</v>
      </c>
      <c r="AH159">
        <v>0</v>
      </c>
      <c r="AJ159">
        <v>0</v>
      </c>
      <c r="AK159" t="s">
        <v>102</v>
      </c>
      <c r="AL159">
        <v>20</v>
      </c>
      <c r="AM159" t="s">
        <v>102</v>
      </c>
      <c r="AN159" t="s">
        <v>102</v>
      </c>
      <c r="AO159" t="s">
        <v>100</v>
      </c>
      <c r="AP159" t="s">
        <v>103</v>
      </c>
      <c r="AQ159" t="s">
        <v>104</v>
      </c>
      <c r="AV159" t="s">
        <v>102</v>
      </c>
      <c r="AX159" t="s">
        <v>327</v>
      </c>
      <c r="AZ159" t="s">
        <v>163</v>
      </c>
      <c r="BF159" t="s">
        <v>901</v>
      </c>
      <c r="BG159" t="s">
        <v>102</v>
      </c>
      <c r="BH159" t="s">
        <v>102</v>
      </c>
      <c r="BI159" t="s">
        <v>102</v>
      </c>
      <c r="BK159" t="s">
        <v>107</v>
      </c>
      <c r="CA159" t="s">
        <v>902</v>
      </c>
      <c r="CB159" t="s">
        <v>327</v>
      </c>
      <c r="CL159" t="s">
        <v>102</v>
      </c>
      <c r="CM159" t="s">
        <v>102</v>
      </c>
      <c r="CN159" t="s">
        <v>193</v>
      </c>
      <c r="CO159" s="1">
        <v>39142</v>
      </c>
      <c r="CP159" s="1">
        <v>43634</v>
      </c>
    </row>
    <row r="160" spans="1:94" x14ac:dyDescent="0.25">
      <c r="A160" t="s">
        <v>903</v>
      </c>
      <c r="B160" t="str">
        <f xml:space="preserve"> "" &amp; 840254039995</f>
        <v>840254039995</v>
      </c>
      <c r="C160" t="s">
        <v>178</v>
      </c>
      <c r="D160" t="s">
        <v>904</v>
      </c>
      <c r="E160" t="s">
        <v>905</v>
      </c>
      <c r="F160" t="s">
        <v>179</v>
      </c>
      <c r="G160">
        <v>1</v>
      </c>
      <c r="H160">
        <v>1</v>
      </c>
      <c r="I160" t="s">
        <v>99</v>
      </c>
      <c r="J160" s="4">
        <v>205</v>
      </c>
      <c r="K160" s="4">
        <v>615</v>
      </c>
      <c r="O160" t="s">
        <v>100</v>
      </c>
      <c r="P160" s="4">
        <v>429.95</v>
      </c>
      <c r="S160">
        <v>15.75</v>
      </c>
      <c r="U160">
        <v>13</v>
      </c>
      <c r="V160">
        <v>7.25</v>
      </c>
      <c r="W160">
        <v>11.02</v>
      </c>
      <c r="X160">
        <v>1</v>
      </c>
      <c r="Y160">
        <v>12.75</v>
      </c>
      <c r="Z160">
        <v>18</v>
      </c>
      <c r="AA160">
        <v>15.5</v>
      </c>
      <c r="AB160">
        <v>2.0590000000000002</v>
      </c>
      <c r="AC160">
        <v>13.98</v>
      </c>
      <c r="AE160">
        <v>2</v>
      </c>
      <c r="AF160" t="s">
        <v>906</v>
      </c>
      <c r="AG160">
        <v>75</v>
      </c>
      <c r="AK160" t="s">
        <v>100</v>
      </c>
      <c r="AM160" t="s">
        <v>102</v>
      </c>
      <c r="AN160" t="s">
        <v>100</v>
      </c>
      <c r="AO160" t="s">
        <v>102</v>
      </c>
      <c r="AP160" t="s">
        <v>117</v>
      </c>
      <c r="AQ160" t="s">
        <v>104</v>
      </c>
      <c r="AV160" t="s">
        <v>102</v>
      </c>
      <c r="AX160" t="s">
        <v>168</v>
      </c>
      <c r="AZ160" t="s">
        <v>454</v>
      </c>
      <c r="BB160" t="s">
        <v>54</v>
      </c>
      <c r="BC160" t="s">
        <v>907</v>
      </c>
      <c r="BD160" t="s">
        <v>482</v>
      </c>
      <c r="BF160" t="s">
        <v>908</v>
      </c>
      <c r="BG160" t="s">
        <v>102</v>
      </c>
      <c r="BH160" t="s">
        <v>102</v>
      </c>
      <c r="BI160" t="s">
        <v>102</v>
      </c>
      <c r="BK160" t="s">
        <v>191</v>
      </c>
      <c r="BL160" t="s">
        <v>180</v>
      </c>
      <c r="BR160">
        <v>0.75</v>
      </c>
      <c r="BT160">
        <v>15.75</v>
      </c>
      <c r="CA160" t="s">
        <v>909</v>
      </c>
      <c r="CB160" t="s">
        <v>168</v>
      </c>
      <c r="CL160" t="s">
        <v>102</v>
      </c>
      <c r="CM160" t="s">
        <v>102</v>
      </c>
      <c r="CN160" t="s">
        <v>910</v>
      </c>
      <c r="CO160" s="1">
        <v>40750</v>
      </c>
      <c r="CP160" s="1">
        <v>43634</v>
      </c>
    </row>
    <row r="161" spans="1:94" x14ac:dyDescent="0.25">
      <c r="A161" t="s">
        <v>912</v>
      </c>
      <c r="B161" t="str">
        <f xml:space="preserve"> "" &amp; 840254039971</f>
        <v>840254039971</v>
      </c>
      <c r="C161" t="s">
        <v>911</v>
      </c>
      <c r="D161" t="s">
        <v>913</v>
      </c>
      <c r="E161" t="s">
        <v>905</v>
      </c>
      <c r="F161" t="s">
        <v>371</v>
      </c>
      <c r="G161">
        <v>1</v>
      </c>
      <c r="H161">
        <v>1</v>
      </c>
      <c r="I161" t="s">
        <v>99</v>
      </c>
      <c r="J161" s="4">
        <v>565</v>
      </c>
      <c r="K161" s="4">
        <v>1695</v>
      </c>
      <c r="O161" t="s">
        <v>100</v>
      </c>
      <c r="P161" s="4">
        <v>1189.95</v>
      </c>
      <c r="S161">
        <v>13.5</v>
      </c>
      <c r="T161">
        <v>18</v>
      </c>
      <c r="U161">
        <v>18</v>
      </c>
      <c r="W161">
        <v>33.840000000000003</v>
      </c>
      <c r="X161">
        <v>1</v>
      </c>
      <c r="Y161">
        <v>18.5</v>
      </c>
      <c r="Z161">
        <v>21.5</v>
      </c>
      <c r="AA161">
        <v>21.5</v>
      </c>
      <c r="AB161">
        <v>4.9489999999999998</v>
      </c>
      <c r="AC161">
        <v>39.68</v>
      </c>
      <c r="AE161">
        <v>4</v>
      </c>
      <c r="AF161" t="s">
        <v>914</v>
      </c>
      <c r="AG161">
        <v>75</v>
      </c>
      <c r="AK161" t="s">
        <v>100</v>
      </c>
      <c r="AM161" t="s">
        <v>102</v>
      </c>
      <c r="AN161" t="s">
        <v>100</v>
      </c>
      <c r="AO161" t="s">
        <v>102</v>
      </c>
      <c r="AP161" t="s">
        <v>117</v>
      </c>
      <c r="AQ161" t="s">
        <v>104</v>
      </c>
      <c r="AV161" t="s">
        <v>102</v>
      </c>
      <c r="AX161" t="s">
        <v>168</v>
      </c>
      <c r="AZ161" t="s">
        <v>454</v>
      </c>
      <c r="BB161" t="s">
        <v>54</v>
      </c>
      <c r="BC161" t="s">
        <v>907</v>
      </c>
      <c r="BD161" t="s">
        <v>482</v>
      </c>
      <c r="BF161" t="s">
        <v>915</v>
      </c>
      <c r="BG161" t="s">
        <v>102</v>
      </c>
      <c r="BH161" t="s">
        <v>102</v>
      </c>
      <c r="BI161" t="s">
        <v>102</v>
      </c>
      <c r="BK161" t="s">
        <v>107</v>
      </c>
      <c r="BR161">
        <v>1</v>
      </c>
      <c r="BS161">
        <v>7</v>
      </c>
      <c r="BT161">
        <v>7</v>
      </c>
      <c r="CA161" t="s">
        <v>916</v>
      </c>
      <c r="CB161" t="s">
        <v>168</v>
      </c>
      <c r="CL161" t="s">
        <v>102</v>
      </c>
      <c r="CM161" t="s">
        <v>100</v>
      </c>
      <c r="CN161" t="s">
        <v>910</v>
      </c>
      <c r="CO161" s="1">
        <v>40750</v>
      </c>
      <c r="CP161" s="1">
        <v>43634</v>
      </c>
    </row>
    <row r="162" spans="1:94" x14ac:dyDescent="0.25">
      <c r="A162" t="s">
        <v>917</v>
      </c>
      <c r="B162" t="str">
        <f xml:space="preserve"> "" &amp; 840254039940</f>
        <v>840254039940</v>
      </c>
      <c r="C162" t="s">
        <v>864</v>
      </c>
      <c r="D162" t="s">
        <v>918</v>
      </c>
      <c r="E162" t="s">
        <v>905</v>
      </c>
      <c r="F162" t="s">
        <v>828</v>
      </c>
      <c r="G162">
        <v>1</v>
      </c>
      <c r="H162">
        <v>1</v>
      </c>
      <c r="I162" t="s">
        <v>99</v>
      </c>
      <c r="J162" s="4">
        <v>850</v>
      </c>
      <c r="K162" s="4">
        <v>2550</v>
      </c>
      <c r="O162" t="s">
        <v>100</v>
      </c>
      <c r="P162" s="4">
        <v>1784.95</v>
      </c>
      <c r="S162">
        <v>17.5</v>
      </c>
      <c r="T162">
        <v>40</v>
      </c>
      <c r="U162">
        <v>11</v>
      </c>
      <c r="W162">
        <v>50.77</v>
      </c>
      <c r="X162">
        <v>1</v>
      </c>
      <c r="Y162">
        <v>20.5</v>
      </c>
      <c r="Z162">
        <v>43</v>
      </c>
      <c r="AA162">
        <v>14</v>
      </c>
      <c r="AB162">
        <v>7.1420000000000003</v>
      </c>
      <c r="AC162">
        <v>59.79</v>
      </c>
      <c r="AE162">
        <v>6</v>
      </c>
      <c r="AF162" t="s">
        <v>914</v>
      </c>
      <c r="AG162">
        <v>75</v>
      </c>
      <c r="AK162" t="s">
        <v>100</v>
      </c>
      <c r="AM162" t="s">
        <v>102</v>
      </c>
      <c r="AN162" t="s">
        <v>100</v>
      </c>
      <c r="AO162" t="s">
        <v>102</v>
      </c>
      <c r="AP162" t="s">
        <v>117</v>
      </c>
      <c r="AQ162" t="s">
        <v>104</v>
      </c>
      <c r="AV162" t="s">
        <v>102</v>
      </c>
      <c r="AX162" t="s">
        <v>168</v>
      </c>
      <c r="AZ162" t="s">
        <v>454</v>
      </c>
      <c r="BB162" t="s">
        <v>54</v>
      </c>
      <c r="BC162" t="s">
        <v>907</v>
      </c>
      <c r="BD162" t="s">
        <v>482</v>
      </c>
      <c r="BF162" t="s">
        <v>919</v>
      </c>
      <c r="BG162" t="s">
        <v>102</v>
      </c>
      <c r="BH162" t="s">
        <v>102</v>
      </c>
      <c r="BI162" t="s">
        <v>102</v>
      </c>
      <c r="BK162" t="s">
        <v>107</v>
      </c>
      <c r="CA162" t="s">
        <v>920</v>
      </c>
      <c r="CB162" t="s">
        <v>168</v>
      </c>
      <c r="CL162" t="s">
        <v>102</v>
      </c>
      <c r="CM162" t="s">
        <v>102</v>
      </c>
      <c r="CN162" t="s">
        <v>910</v>
      </c>
      <c r="CO162" s="1">
        <v>40802</v>
      </c>
      <c r="CP162" s="1">
        <v>43634</v>
      </c>
    </row>
    <row r="163" spans="1:94" x14ac:dyDescent="0.25">
      <c r="A163" t="s">
        <v>921</v>
      </c>
      <c r="B163" t="str">
        <f xml:space="preserve"> "" &amp; 840254039964</f>
        <v>840254039964</v>
      </c>
      <c r="C163" t="s">
        <v>111</v>
      </c>
      <c r="D163" t="s">
        <v>922</v>
      </c>
      <c r="E163" t="s">
        <v>905</v>
      </c>
      <c r="F163" t="s">
        <v>98</v>
      </c>
      <c r="G163">
        <v>1</v>
      </c>
      <c r="H163">
        <v>1</v>
      </c>
      <c r="I163" t="s">
        <v>99</v>
      </c>
      <c r="J163" s="4">
        <v>800</v>
      </c>
      <c r="K163" s="4">
        <v>2400</v>
      </c>
      <c r="O163" t="s">
        <v>100</v>
      </c>
      <c r="P163" s="4">
        <v>1679.95</v>
      </c>
      <c r="S163">
        <v>16</v>
      </c>
      <c r="T163">
        <v>27</v>
      </c>
      <c r="U163">
        <v>27</v>
      </c>
      <c r="W163">
        <v>45.13</v>
      </c>
      <c r="X163">
        <v>1</v>
      </c>
      <c r="Y163">
        <v>19</v>
      </c>
      <c r="Z163">
        <v>25</v>
      </c>
      <c r="AA163">
        <v>25</v>
      </c>
      <c r="AB163">
        <v>6.8719999999999999</v>
      </c>
      <c r="AC163">
        <v>54.01</v>
      </c>
      <c r="AE163">
        <v>8</v>
      </c>
      <c r="AF163" t="s">
        <v>923</v>
      </c>
      <c r="AG163">
        <v>75</v>
      </c>
      <c r="AK163" t="s">
        <v>100</v>
      </c>
      <c r="AM163" t="s">
        <v>102</v>
      </c>
      <c r="AN163" t="s">
        <v>100</v>
      </c>
      <c r="AO163" t="s">
        <v>102</v>
      </c>
      <c r="AP163" t="s">
        <v>117</v>
      </c>
      <c r="AQ163" t="s">
        <v>104</v>
      </c>
      <c r="AV163" t="s">
        <v>102</v>
      </c>
      <c r="AX163" t="s">
        <v>168</v>
      </c>
      <c r="AZ163" t="s">
        <v>454</v>
      </c>
      <c r="BB163" t="s">
        <v>54</v>
      </c>
      <c r="BC163" t="s">
        <v>907</v>
      </c>
      <c r="BD163" t="s">
        <v>482</v>
      </c>
      <c r="BF163" t="s">
        <v>924</v>
      </c>
      <c r="BG163" t="s">
        <v>102</v>
      </c>
      <c r="BH163" t="s">
        <v>102</v>
      </c>
      <c r="BI163" t="s">
        <v>102</v>
      </c>
      <c r="BK163" t="s">
        <v>107</v>
      </c>
      <c r="BR163">
        <v>1</v>
      </c>
      <c r="BS163">
        <v>7</v>
      </c>
      <c r="BT163">
        <v>7</v>
      </c>
      <c r="CA163" t="s">
        <v>925</v>
      </c>
      <c r="CB163" t="s">
        <v>168</v>
      </c>
      <c r="CL163" t="s">
        <v>100</v>
      </c>
      <c r="CM163" t="s">
        <v>102</v>
      </c>
      <c r="CN163" t="s">
        <v>910</v>
      </c>
      <c r="CO163" s="1">
        <v>40802</v>
      </c>
      <c r="CP163" s="1">
        <v>43634</v>
      </c>
    </row>
    <row r="164" spans="1:94" x14ac:dyDescent="0.25">
      <c r="A164" t="s">
        <v>926</v>
      </c>
      <c r="B164" t="str">
        <f xml:space="preserve"> "" &amp; 840254039957</f>
        <v>840254039957</v>
      </c>
      <c r="C164" t="s">
        <v>111</v>
      </c>
      <c r="D164" t="s">
        <v>922</v>
      </c>
      <c r="E164" t="s">
        <v>905</v>
      </c>
      <c r="F164" t="s">
        <v>98</v>
      </c>
      <c r="G164">
        <v>1</v>
      </c>
      <c r="H164">
        <v>1</v>
      </c>
      <c r="I164" t="s">
        <v>99</v>
      </c>
      <c r="J164" s="4">
        <v>1050</v>
      </c>
      <c r="K164" s="4">
        <v>3150</v>
      </c>
      <c r="O164" t="s">
        <v>100</v>
      </c>
      <c r="P164" s="4">
        <v>2204.9499999999998</v>
      </c>
      <c r="S164">
        <v>17.5</v>
      </c>
      <c r="T164">
        <v>34</v>
      </c>
      <c r="U164">
        <v>34</v>
      </c>
      <c r="W164">
        <v>62.39</v>
      </c>
      <c r="X164">
        <v>1</v>
      </c>
      <c r="Y164">
        <v>20.5</v>
      </c>
      <c r="Z164">
        <v>31.5</v>
      </c>
      <c r="AA164">
        <v>31.5</v>
      </c>
      <c r="AB164">
        <v>11.771000000000001</v>
      </c>
      <c r="AC164">
        <v>75.180000000000007</v>
      </c>
      <c r="AE164">
        <v>8</v>
      </c>
      <c r="AF164" t="s">
        <v>914</v>
      </c>
      <c r="AG164">
        <v>75</v>
      </c>
      <c r="AK164" t="s">
        <v>100</v>
      </c>
      <c r="AM164" t="s">
        <v>102</v>
      </c>
      <c r="AN164" t="s">
        <v>100</v>
      </c>
      <c r="AO164" t="s">
        <v>102</v>
      </c>
      <c r="AP164" t="s">
        <v>103</v>
      </c>
      <c r="AQ164" t="s">
        <v>104</v>
      </c>
      <c r="AV164" t="s">
        <v>102</v>
      </c>
      <c r="AX164" t="s">
        <v>168</v>
      </c>
      <c r="AZ164" t="s">
        <v>454</v>
      </c>
      <c r="BB164" t="s">
        <v>54</v>
      </c>
      <c r="BC164" t="s">
        <v>907</v>
      </c>
      <c r="BD164" t="s">
        <v>482</v>
      </c>
      <c r="BF164" t="s">
        <v>927</v>
      </c>
      <c r="BG164" t="s">
        <v>102</v>
      </c>
      <c r="BH164" t="s">
        <v>102</v>
      </c>
      <c r="BI164" t="s">
        <v>102</v>
      </c>
      <c r="BK164" t="s">
        <v>107</v>
      </c>
      <c r="CA164" t="s">
        <v>928</v>
      </c>
      <c r="CB164" t="s">
        <v>168</v>
      </c>
      <c r="CL164" t="s">
        <v>102</v>
      </c>
      <c r="CM164" t="s">
        <v>102</v>
      </c>
      <c r="CN164" t="s">
        <v>910</v>
      </c>
      <c r="CO164" s="1">
        <v>40750</v>
      </c>
      <c r="CP164" s="1">
        <v>43634</v>
      </c>
    </row>
    <row r="165" spans="1:94" x14ac:dyDescent="0.25">
      <c r="A165" t="s">
        <v>929</v>
      </c>
      <c r="B165" t="str">
        <f xml:space="preserve"> "" &amp; 840254040083</f>
        <v>840254040083</v>
      </c>
      <c r="C165" t="s">
        <v>930</v>
      </c>
      <c r="D165" t="s">
        <v>931</v>
      </c>
      <c r="E165" t="s">
        <v>932</v>
      </c>
      <c r="F165" t="s">
        <v>179</v>
      </c>
      <c r="G165">
        <v>1</v>
      </c>
      <c r="H165">
        <v>1</v>
      </c>
      <c r="I165" t="s">
        <v>99</v>
      </c>
      <c r="J165" s="4">
        <v>250</v>
      </c>
      <c r="K165" s="4">
        <v>750</v>
      </c>
      <c r="S165">
        <v>5.75</v>
      </c>
      <c r="U165">
        <v>17.75</v>
      </c>
      <c r="V165">
        <v>6.5</v>
      </c>
      <c r="W165">
        <v>10.14</v>
      </c>
      <c r="X165">
        <v>1</v>
      </c>
      <c r="Y165">
        <v>8.75</v>
      </c>
      <c r="Z165">
        <v>21.5</v>
      </c>
      <c r="AA165">
        <v>9</v>
      </c>
      <c r="AB165">
        <v>0.98</v>
      </c>
      <c r="AC165">
        <v>12.04</v>
      </c>
      <c r="AE165">
        <v>4</v>
      </c>
      <c r="AF165" t="s">
        <v>575</v>
      </c>
      <c r="AG165">
        <v>60</v>
      </c>
      <c r="AK165" t="s">
        <v>102</v>
      </c>
      <c r="AM165" t="s">
        <v>102</v>
      </c>
      <c r="AN165" t="s">
        <v>100</v>
      </c>
      <c r="AO165" t="s">
        <v>102</v>
      </c>
      <c r="AP165" t="s">
        <v>117</v>
      </c>
      <c r="AQ165" t="s">
        <v>104</v>
      </c>
      <c r="AV165" t="s">
        <v>102</v>
      </c>
      <c r="AX165" t="s">
        <v>168</v>
      </c>
      <c r="AZ165" t="s">
        <v>105</v>
      </c>
      <c r="BF165" t="s">
        <v>933</v>
      </c>
      <c r="BG165" t="s">
        <v>102</v>
      </c>
      <c r="BH165" t="s">
        <v>102</v>
      </c>
      <c r="BI165" t="s">
        <v>102</v>
      </c>
      <c r="BK165" t="s">
        <v>191</v>
      </c>
      <c r="BL165" t="s">
        <v>624</v>
      </c>
      <c r="BM165">
        <v>16</v>
      </c>
      <c r="BN165">
        <v>4.75</v>
      </c>
      <c r="CA165" t="s">
        <v>934</v>
      </c>
      <c r="CB165" t="s">
        <v>168</v>
      </c>
      <c r="CL165" t="s">
        <v>100</v>
      </c>
      <c r="CM165" t="s">
        <v>102</v>
      </c>
      <c r="CN165" t="s">
        <v>272</v>
      </c>
      <c r="CO165" s="1">
        <v>42580</v>
      </c>
      <c r="CP165" s="1">
        <v>43634</v>
      </c>
    </row>
    <row r="166" spans="1:94" x14ac:dyDescent="0.25">
      <c r="A166" t="s">
        <v>935</v>
      </c>
      <c r="B166" t="str">
        <f xml:space="preserve"> "" &amp; 840254046054</f>
        <v>840254046054</v>
      </c>
      <c r="C166" t="s">
        <v>936</v>
      </c>
      <c r="D166" t="s">
        <v>937</v>
      </c>
      <c r="E166" t="s">
        <v>197</v>
      </c>
      <c r="F166" t="s">
        <v>710</v>
      </c>
      <c r="G166">
        <v>1</v>
      </c>
      <c r="H166">
        <v>1</v>
      </c>
      <c r="I166" t="s">
        <v>99</v>
      </c>
      <c r="J166" s="4">
        <v>135</v>
      </c>
      <c r="K166" s="4">
        <v>405</v>
      </c>
      <c r="O166" t="s">
        <v>100</v>
      </c>
      <c r="P166" s="4">
        <v>284.95</v>
      </c>
      <c r="S166">
        <v>12.5</v>
      </c>
      <c r="T166">
        <v>17</v>
      </c>
      <c r="U166">
        <v>17</v>
      </c>
      <c r="W166">
        <v>6.37</v>
      </c>
      <c r="X166">
        <v>1</v>
      </c>
      <c r="Y166">
        <v>15</v>
      </c>
      <c r="Z166">
        <v>17.5</v>
      </c>
      <c r="AA166">
        <v>17.5</v>
      </c>
      <c r="AB166">
        <v>2.6579999999999999</v>
      </c>
      <c r="AC166">
        <v>9.9600000000000009</v>
      </c>
      <c r="AE166">
        <v>3</v>
      </c>
      <c r="AF166" t="s">
        <v>938</v>
      </c>
      <c r="AG166">
        <v>60</v>
      </c>
      <c r="AK166" t="s">
        <v>102</v>
      </c>
      <c r="AM166" t="s">
        <v>102</v>
      </c>
      <c r="AN166" t="s">
        <v>100</v>
      </c>
      <c r="AO166" t="s">
        <v>102</v>
      </c>
      <c r="AP166" t="s">
        <v>117</v>
      </c>
      <c r="AQ166" t="s">
        <v>104</v>
      </c>
      <c r="AV166" t="s">
        <v>102</v>
      </c>
      <c r="AX166" t="s">
        <v>199</v>
      </c>
      <c r="AZ166" t="s">
        <v>200</v>
      </c>
      <c r="BB166" t="s">
        <v>118</v>
      </c>
      <c r="BC166" t="s">
        <v>201</v>
      </c>
      <c r="BF166" t="s">
        <v>939</v>
      </c>
      <c r="BG166" t="s">
        <v>102</v>
      </c>
      <c r="BH166" t="s">
        <v>102</v>
      </c>
      <c r="BI166" t="s">
        <v>102</v>
      </c>
      <c r="BK166" t="s">
        <v>191</v>
      </c>
      <c r="BQ166">
        <v>5</v>
      </c>
      <c r="BR166">
        <v>1.38</v>
      </c>
      <c r="BS166">
        <v>5</v>
      </c>
      <c r="BT166">
        <v>5</v>
      </c>
      <c r="CA166" t="s">
        <v>940</v>
      </c>
      <c r="CB166" t="s">
        <v>199</v>
      </c>
      <c r="CL166" t="s">
        <v>100</v>
      </c>
      <c r="CM166" t="s">
        <v>102</v>
      </c>
      <c r="CN166" t="s">
        <v>204</v>
      </c>
      <c r="CO166" s="1">
        <v>42387</v>
      </c>
      <c r="CP166" s="1">
        <v>43634</v>
      </c>
    </row>
    <row r="167" spans="1:94" x14ac:dyDescent="0.25">
      <c r="A167" t="s">
        <v>941</v>
      </c>
      <c r="B167" t="str">
        <f xml:space="preserve"> "" &amp; 840254046146</f>
        <v>840254046146</v>
      </c>
      <c r="C167" t="s">
        <v>178</v>
      </c>
      <c r="D167" t="s">
        <v>942</v>
      </c>
      <c r="E167" t="s">
        <v>197</v>
      </c>
      <c r="F167" t="s">
        <v>179</v>
      </c>
      <c r="G167">
        <v>1</v>
      </c>
      <c r="H167">
        <v>1</v>
      </c>
      <c r="I167" t="s">
        <v>99</v>
      </c>
      <c r="J167" s="4">
        <v>85</v>
      </c>
      <c r="K167" s="4">
        <v>255</v>
      </c>
      <c r="O167" t="s">
        <v>100</v>
      </c>
      <c r="P167" s="4">
        <v>179.95</v>
      </c>
      <c r="S167">
        <v>19.25</v>
      </c>
      <c r="U167">
        <v>11</v>
      </c>
      <c r="V167">
        <v>5.75</v>
      </c>
      <c r="W167">
        <v>4.12</v>
      </c>
      <c r="X167">
        <v>1</v>
      </c>
      <c r="Y167">
        <v>8.5</v>
      </c>
      <c r="Z167">
        <v>17.25</v>
      </c>
      <c r="AA167">
        <v>13.5</v>
      </c>
      <c r="AB167">
        <v>1.1459999999999999</v>
      </c>
      <c r="AC167">
        <v>5.89</v>
      </c>
      <c r="AE167">
        <v>2</v>
      </c>
      <c r="AF167" t="s">
        <v>167</v>
      </c>
      <c r="AG167">
        <v>60</v>
      </c>
      <c r="AK167" t="s">
        <v>102</v>
      </c>
      <c r="AM167" t="s">
        <v>102</v>
      </c>
      <c r="AN167" t="s">
        <v>100</v>
      </c>
      <c r="AO167" t="s">
        <v>102</v>
      </c>
      <c r="AP167" t="s">
        <v>117</v>
      </c>
      <c r="AQ167" t="s">
        <v>104</v>
      </c>
      <c r="AV167" t="s">
        <v>102</v>
      </c>
      <c r="AX167" t="s">
        <v>199</v>
      </c>
      <c r="AZ167" t="s">
        <v>200</v>
      </c>
      <c r="BB167" t="s">
        <v>118</v>
      </c>
      <c r="BF167" t="s">
        <v>943</v>
      </c>
      <c r="BG167" t="s">
        <v>102</v>
      </c>
      <c r="BH167" t="s">
        <v>102</v>
      </c>
      <c r="BI167" t="s">
        <v>102</v>
      </c>
      <c r="BK167" t="s">
        <v>191</v>
      </c>
      <c r="BL167" t="s">
        <v>180</v>
      </c>
      <c r="BR167">
        <v>10</v>
      </c>
      <c r="BT167">
        <v>5.5</v>
      </c>
      <c r="CA167" t="s">
        <v>944</v>
      </c>
      <c r="CB167" t="s">
        <v>199</v>
      </c>
      <c r="CL167" t="s">
        <v>100</v>
      </c>
      <c r="CM167" t="s">
        <v>102</v>
      </c>
      <c r="CN167" t="s">
        <v>945</v>
      </c>
      <c r="CO167" s="1">
        <v>42387</v>
      </c>
      <c r="CP167" s="1">
        <v>43634</v>
      </c>
    </row>
    <row r="168" spans="1:94" x14ac:dyDescent="0.25">
      <c r="A168" t="s">
        <v>946</v>
      </c>
      <c r="B168" t="str">
        <f xml:space="preserve"> "" &amp; 840254046153</f>
        <v>840254046153</v>
      </c>
      <c r="C168" t="s">
        <v>230</v>
      </c>
      <c r="D168" t="s">
        <v>947</v>
      </c>
      <c r="E168" t="s">
        <v>197</v>
      </c>
      <c r="F168" t="s">
        <v>179</v>
      </c>
      <c r="G168">
        <v>1</v>
      </c>
      <c r="H168">
        <v>1</v>
      </c>
      <c r="I168" t="s">
        <v>99</v>
      </c>
      <c r="J168" s="4">
        <v>125</v>
      </c>
      <c r="K168" s="4">
        <v>375</v>
      </c>
      <c r="O168" t="s">
        <v>100</v>
      </c>
      <c r="P168" s="4">
        <v>264.95</v>
      </c>
      <c r="S168">
        <v>26.25</v>
      </c>
      <c r="U168">
        <v>11.75</v>
      </c>
      <c r="V168">
        <v>8.25</v>
      </c>
      <c r="W168">
        <v>6.15</v>
      </c>
      <c r="X168">
        <v>1</v>
      </c>
      <c r="Y168">
        <v>10.5</v>
      </c>
      <c r="Z168">
        <v>29.25</v>
      </c>
      <c r="AA168">
        <v>14</v>
      </c>
      <c r="AB168">
        <v>2.488</v>
      </c>
      <c r="AC168">
        <v>9.83</v>
      </c>
      <c r="AE168">
        <v>3</v>
      </c>
      <c r="AF168" t="s">
        <v>167</v>
      </c>
      <c r="AG168">
        <v>60</v>
      </c>
      <c r="AK168" t="s">
        <v>102</v>
      </c>
      <c r="AM168" t="s">
        <v>102</v>
      </c>
      <c r="AN168" t="s">
        <v>100</v>
      </c>
      <c r="AO168" t="s">
        <v>102</v>
      </c>
      <c r="AP168" t="s">
        <v>117</v>
      </c>
      <c r="AQ168" t="s">
        <v>104</v>
      </c>
      <c r="AV168" t="s">
        <v>102</v>
      </c>
      <c r="AX168" t="s">
        <v>199</v>
      </c>
      <c r="AZ168" t="s">
        <v>200</v>
      </c>
      <c r="BB168" t="s">
        <v>118</v>
      </c>
      <c r="BF168" t="s">
        <v>948</v>
      </c>
      <c r="BG168" t="s">
        <v>102</v>
      </c>
      <c r="BH168" t="s">
        <v>102</v>
      </c>
      <c r="BI168" t="s">
        <v>102</v>
      </c>
      <c r="BK168" t="s">
        <v>191</v>
      </c>
      <c r="BL168" t="s">
        <v>180</v>
      </c>
      <c r="BR168">
        <v>10</v>
      </c>
      <c r="BT168">
        <v>5.5</v>
      </c>
      <c r="CA168" t="s">
        <v>949</v>
      </c>
      <c r="CB168" t="s">
        <v>199</v>
      </c>
      <c r="CL168" t="s">
        <v>100</v>
      </c>
      <c r="CM168" t="s">
        <v>102</v>
      </c>
      <c r="CN168" t="s">
        <v>945</v>
      </c>
      <c r="CO168" s="1">
        <v>42387</v>
      </c>
      <c r="CP168" s="1">
        <v>43634</v>
      </c>
    </row>
    <row r="169" spans="1:94" x14ac:dyDescent="0.25">
      <c r="A169" t="s">
        <v>950</v>
      </c>
      <c r="B169" t="str">
        <f xml:space="preserve"> "" &amp; 840254046030</f>
        <v>840254046030</v>
      </c>
      <c r="C169" t="s">
        <v>951</v>
      </c>
      <c r="D169" t="s">
        <v>952</v>
      </c>
      <c r="E169" t="s">
        <v>197</v>
      </c>
      <c r="F169" t="s">
        <v>98</v>
      </c>
      <c r="G169">
        <v>1</v>
      </c>
      <c r="H169">
        <v>1</v>
      </c>
      <c r="I169" t="s">
        <v>99</v>
      </c>
      <c r="J169" s="4">
        <v>215</v>
      </c>
      <c r="K169" s="4">
        <v>645</v>
      </c>
      <c r="O169" t="s">
        <v>100</v>
      </c>
      <c r="P169" s="4">
        <v>454.95</v>
      </c>
      <c r="S169">
        <v>23.25</v>
      </c>
      <c r="T169">
        <v>21</v>
      </c>
      <c r="U169">
        <v>21</v>
      </c>
      <c r="W169">
        <v>11.9</v>
      </c>
      <c r="X169">
        <v>1</v>
      </c>
      <c r="Y169">
        <v>17.75</v>
      </c>
      <c r="Z169">
        <v>22.75</v>
      </c>
      <c r="AA169">
        <v>11</v>
      </c>
      <c r="AB169">
        <v>2.5710000000000002</v>
      </c>
      <c r="AC169">
        <v>16.27</v>
      </c>
      <c r="AE169">
        <v>4</v>
      </c>
      <c r="AF169" t="s">
        <v>167</v>
      </c>
      <c r="AG169">
        <v>60</v>
      </c>
      <c r="AK169" t="s">
        <v>102</v>
      </c>
      <c r="AL169">
        <v>4</v>
      </c>
      <c r="AM169" t="s">
        <v>102</v>
      </c>
      <c r="AN169" t="s">
        <v>100</v>
      </c>
      <c r="AO169" t="s">
        <v>102</v>
      </c>
      <c r="AP169" t="s">
        <v>117</v>
      </c>
      <c r="AQ169" t="s">
        <v>104</v>
      </c>
      <c r="AV169" t="s">
        <v>102</v>
      </c>
      <c r="AX169" t="s">
        <v>199</v>
      </c>
      <c r="AZ169" t="s">
        <v>200</v>
      </c>
      <c r="BB169" t="s">
        <v>118</v>
      </c>
      <c r="BF169" t="s">
        <v>953</v>
      </c>
      <c r="BG169" t="s">
        <v>102</v>
      </c>
      <c r="BH169" t="s">
        <v>102</v>
      </c>
      <c r="BI169" t="s">
        <v>102</v>
      </c>
      <c r="BK169" t="s">
        <v>191</v>
      </c>
      <c r="BQ169">
        <v>5.5</v>
      </c>
      <c r="BR169">
        <v>0.75</v>
      </c>
      <c r="BS169">
        <v>5.5</v>
      </c>
      <c r="BT169">
        <v>5.5</v>
      </c>
      <c r="CA169" t="s">
        <v>954</v>
      </c>
      <c r="CB169" t="s">
        <v>199</v>
      </c>
      <c r="CL169" t="s">
        <v>100</v>
      </c>
      <c r="CM169" t="s">
        <v>100</v>
      </c>
      <c r="CN169" t="s">
        <v>945</v>
      </c>
      <c r="CO169" s="1">
        <v>42387</v>
      </c>
      <c r="CP169" s="1">
        <v>43634</v>
      </c>
    </row>
    <row r="170" spans="1:94" x14ac:dyDescent="0.25">
      <c r="A170" t="s">
        <v>955</v>
      </c>
      <c r="B170" t="str">
        <f xml:space="preserve"> "" &amp; 840254046016</f>
        <v>840254046016</v>
      </c>
      <c r="C170" t="s">
        <v>740</v>
      </c>
      <c r="D170" t="s">
        <v>956</v>
      </c>
      <c r="E170" t="s">
        <v>197</v>
      </c>
      <c r="F170" t="s">
        <v>98</v>
      </c>
      <c r="G170">
        <v>1</v>
      </c>
      <c r="H170">
        <v>1</v>
      </c>
      <c r="I170" t="s">
        <v>99</v>
      </c>
      <c r="J170" s="4">
        <v>375</v>
      </c>
      <c r="K170" s="4">
        <v>1125</v>
      </c>
      <c r="O170" t="s">
        <v>100</v>
      </c>
      <c r="P170" s="4">
        <v>789.95</v>
      </c>
      <c r="S170">
        <v>30</v>
      </c>
      <c r="T170">
        <v>28</v>
      </c>
      <c r="U170">
        <v>28</v>
      </c>
      <c r="W170">
        <v>18.559999999999999</v>
      </c>
      <c r="X170">
        <v>1</v>
      </c>
      <c r="Y170">
        <v>24.5</v>
      </c>
      <c r="Z170">
        <v>30.75</v>
      </c>
      <c r="AA170">
        <v>15.5</v>
      </c>
      <c r="AB170">
        <v>6.758</v>
      </c>
      <c r="AC170">
        <v>26.06</v>
      </c>
      <c r="AE170">
        <v>6</v>
      </c>
      <c r="AF170" t="s">
        <v>167</v>
      </c>
      <c r="AG170">
        <v>60</v>
      </c>
      <c r="AK170" t="s">
        <v>102</v>
      </c>
      <c r="AL170">
        <v>6</v>
      </c>
      <c r="AM170" t="s">
        <v>102</v>
      </c>
      <c r="AN170" t="s">
        <v>100</v>
      </c>
      <c r="AO170" t="s">
        <v>102</v>
      </c>
      <c r="AP170" t="s">
        <v>117</v>
      </c>
      <c r="AQ170" t="s">
        <v>104</v>
      </c>
      <c r="AV170" t="s">
        <v>102</v>
      </c>
      <c r="AX170" t="s">
        <v>199</v>
      </c>
      <c r="AZ170" t="s">
        <v>200</v>
      </c>
      <c r="BF170" t="s">
        <v>957</v>
      </c>
      <c r="BG170" t="s">
        <v>102</v>
      </c>
      <c r="BH170" t="s">
        <v>102</v>
      </c>
      <c r="BI170" t="s">
        <v>102</v>
      </c>
      <c r="BK170" t="s">
        <v>107</v>
      </c>
      <c r="BQ170">
        <v>5.5</v>
      </c>
      <c r="BR170">
        <v>0.75</v>
      </c>
      <c r="BS170">
        <v>5.5</v>
      </c>
      <c r="BT170">
        <v>5.5</v>
      </c>
      <c r="CA170" t="s">
        <v>958</v>
      </c>
      <c r="CB170" t="s">
        <v>199</v>
      </c>
      <c r="CL170" t="s">
        <v>100</v>
      </c>
      <c r="CM170" t="s">
        <v>100</v>
      </c>
      <c r="CN170" t="s">
        <v>945</v>
      </c>
      <c r="CO170" s="1">
        <v>42387</v>
      </c>
      <c r="CP170" s="1">
        <v>43634</v>
      </c>
    </row>
    <row r="171" spans="1:94" x14ac:dyDescent="0.25">
      <c r="A171" t="s">
        <v>959</v>
      </c>
      <c r="B171" t="str">
        <f xml:space="preserve"> "" &amp; 840254046023</f>
        <v>840254046023</v>
      </c>
      <c r="C171" t="s">
        <v>960</v>
      </c>
      <c r="D171" t="s">
        <v>961</v>
      </c>
      <c r="E171" t="s">
        <v>197</v>
      </c>
      <c r="F171" t="s">
        <v>828</v>
      </c>
      <c r="G171">
        <v>1</v>
      </c>
      <c r="H171">
        <v>1</v>
      </c>
      <c r="I171" t="s">
        <v>99</v>
      </c>
      <c r="J171" s="4">
        <v>450</v>
      </c>
      <c r="K171" s="4">
        <v>1350</v>
      </c>
      <c r="O171" t="s">
        <v>100</v>
      </c>
      <c r="P171" s="4">
        <v>944.95</v>
      </c>
      <c r="S171">
        <v>31.5</v>
      </c>
      <c r="U171">
        <v>40</v>
      </c>
      <c r="V171">
        <v>18</v>
      </c>
      <c r="W171">
        <v>24.93</v>
      </c>
      <c r="X171">
        <v>1</v>
      </c>
      <c r="Y171">
        <v>26.75</v>
      </c>
      <c r="Z171">
        <v>42.5</v>
      </c>
      <c r="AA171">
        <v>11.75</v>
      </c>
      <c r="AB171">
        <v>7.73</v>
      </c>
      <c r="AC171">
        <v>33.159999999999997</v>
      </c>
      <c r="AE171">
        <v>6</v>
      </c>
      <c r="AF171" t="s">
        <v>167</v>
      </c>
      <c r="AG171">
        <v>60</v>
      </c>
      <c r="AK171" t="s">
        <v>102</v>
      </c>
      <c r="AL171">
        <v>9</v>
      </c>
      <c r="AM171" t="s">
        <v>102</v>
      </c>
      <c r="AN171" t="s">
        <v>100</v>
      </c>
      <c r="AO171" t="s">
        <v>102</v>
      </c>
      <c r="AP171" t="s">
        <v>117</v>
      </c>
      <c r="AQ171" t="s">
        <v>104</v>
      </c>
      <c r="AV171" t="s">
        <v>102</v>
      </c>
      <c r="AX171" t="s">
        <v>199</v>
      </c>
      <c r="AZ171" t="s">
        <v>200</v>
      </c>
      <c r="BB171" t="s">
        <v>118</v>
      </c>
      <c r="BF171" t="s">
        <v>962</v>
      </c>
      <c r="BG171" t="s">
        <v>102</v>
      </c>
      <c r="BH171" t="s">
        <v>102</v>
      </c>
      <c r="BI171" t="s">
        <v>102</v>
      </c>
      <c r="BK171" t="s">
        <v>107</v>
      </c>
      <c r="BR171">
        <v>5.5</v>
      </c>
      <c r="BS171">
        <v>7.75</v>
      </c>
      <c r="BT171">
        <v>7.75</v>
      </c>
      <c r="CA171" t="s">
        <v>963</v>
      </c>
      <c r="CB171" t="s">
        <v>199</v>
      </c>
      <c r="CL171" t="s">
        <v>100</v>
      </c>
      <c r="CM171" t="s">
        <v>102</v>
      </c>
      <c r="CN171" t="s">
        <v>945</v>
      </c>
      <c r="CO171" s="1">
        <v>42387</v>
      </c>
      <c r="CP171" s="1">
        <v>43634</v>
      </c>
    </row>
    <row r="172" spans="1:94" x14ac:dyDescent="0.25">
      <c r="A172" t="s">
        <v>964</v>
      </c>
      <c r="B172" t="str">
        <f xml:space="preserve"> "" &amp; 840254046061</f>
        <v>840254046061</v>
      </c>
      <c r="C172" t="s">
        <v>171</v>
      </c>
      <c r="D172" t="s">
        <v>965</v>
      </c>
      <c r="E172" t="s">
        <v>197</v>
      </c>
      <c r="F172" t="s">
        <v>98</v>
      </c>
      <c r="G172">
        <v>1</v>
      </c>
      <c r="H172">
        <v>1</v>
      </c>
      <c r="I172" t="s">
        <v>99</v>
      </c>
      <c r="J172" s="4">
        <v>995</v>
      </c>
      <c r="K172" s="4">
        <v>2985</v>
      </c>
      <c r="O172" t="s">
        <v>100</v>
      </c>
      <c r="P172" s="4">
        <v>2089.9499999999998</v>
      </c>
      <c r="S172">
        <v>53</v>
      </c>
      <c r="T172">
        <v>46.25</v>
      </c>
      <c r="U172">
        <v>46.25</v>
      </c>
      <c r="W172">
        <v>54.92</v>
      </c>
      <c r="X172">
        <v>1</v>
      </c>
      <c r="Y172">
        <v>45</v>
      </c>
      <c r="Z172">
        <v>49</v>
      </c>
      <c r="AA172">
        <v>28.5</v>
      </c>
      <c r="AB172">
        <v>36.366999999999997</v>
      </c>
      <c r="AC172">
        <v>82.76</v>
      </c>
      <c r="AE172">
        <v>15</v>
      </c>
      <c r="AF172" t="s">
        <v>167</v>
      </c>
      <c r="AG172">
        <v>60</v>
      </c>
      <c r="AK172" t="s">
        <v>102</v>
      </c>
      <c r="AL172">
        <v>15</v>
      </c>
      <c r="AM172" t="s">
        <v>102</v>
      </c>
      <c r="AN172" t="s">
        <v>100</v>
      </c>
      <c r="AO172" t="s">
        <v>102</v>
      </c>
      <c r="AP172" t="s">
        <v>103</v>
      </c>
      <c r="AQ172" t="s">
        <v>104</v>
      </c>
      <c r="AV172" t="s">
        <v>102</v>
      </c>
      <c r="AX172" t="s">
        <v>199</v>
      </c>
      <c r="AZ172" t="s">
        <v>200</v>
      </c>
      <c r="BB172" t="s">
        <v>118</v>
      </c>
      <c r="BF172" t="s">
        <v>966</v>
      </c>
      <c r="BG172" t="s">
        <v>102</v>
      </c>
      <c r="BH172" t="s">
        <v>102</v>
      </c>
      <c r="BI172" t="s">
        <v>102</v>
      </c>
      <c r="BK172" t="s">
        <v>107</v>
      </c>
      <c r="BQ172">
        <v>5.5</v>
      </c>
      <c r="BR172">
        <v>0.75</v>
      </c>
      <c r="BS172">
        <v>5.5</v>
      </c>
      <c r="BT172">
        <v>5.5</v>
      </c>
      <c r="CA172" t="s">
        <v>963</v>
      </c>
      <c r="CB172" t="s">
        <v>199</v>
      </c>
      <c r="CL172" t="s">
        <v>100</v>
      </c>
      <c r="CM172" t="s">
        <v>102</v>
      </c>
      <c r="CN172" t="s">
        <v>945</v>
      </c>
      <c r="CO172" s="1">
        <v>42387</v>
      </c>
      <c r="CP172" s="1">
        <v>43634</v>
      </c>
    </row>
    <row r="173" spans="1:94" x14ac:dyDescent="0.25">
      <c r="A173" t="s">
        <v>967</v>
      </c>
      <c r="B173" t="str">
        <f xml:space="preserve"> "" &amp; 840254046047</f>
        <v>840254046047</v>
      </c>
      <c r="C173" t="s">
        <v>791</v>
      </c>
      <c r="D173" t="s">
        <v>968</v>
      </c>
      <c r="E173" t="s">
        <v>197</v>
      </c>
      <c r="F173" t="s">
        <v>98</v>
      </c>
      <c r="G173">
        <v>1</v>
      </c>
      <c r="H173">
        <v>1</v>
      </c>
      <c r="I173" t="s">
        <v>99</v>
      </c>
      <c r="J173" s="4">
        <v>525</v>
      </c>
      <c r="K173" s="4">
        <v>1575</v>
      </c>
      <c r="O173" t="s">
        <v>100</v>
      </c>
      <c r="P173" s="4">
        <v>1104.95</v>
      </c>
      <c r="S173">
        <v>36</v>
      </c>
      <c r="T173">
        <v>34</v>
      </c>
      <c r="U173">
        <v>34</v>
      </c>
      <c r="W173">
        <v>25.09</v>
      </c>
      <c r="X173">
        <v>1</v>
      </c>
      <c r="Y173">
        <v>29.75</v>
      </c>
      <c r="Z173">
        <v>36.5</v>
      </c>
      <c r="AA173">
        <v>15.75</v>
      </c>
      <c r="AB173">
        <v>9.8970000000000002</v>
      </c>
      <c r="AC173">
        <v>34.409999999999997</v>
      </c>
      <c r="AE173">
        <v>10</v>
      </c>
      <c r="AF173" t="s">
        <v>167</v>
      </c>
      <c r="AG173">
        <v>60</v>
      </c>
      <c r="AK173" t="s">
        <v>102</v>
      </c>
      <c r="AL173">
        <v>10</v>
      </c>
      <c r="AM173" t="s">
        <v>102</v>
      </c>
      <c r="AN173" t="s">
        <v>100</v>
      </c>
      <c r="AO173" t="s">
        <v>102</v>
      </c>
      <c r="AP173" t="s">
        <v>117</v>
      </c>
      <c r="AQ173" t="s">
        <v>104</v>
      </c>
      <c r="AV173" t="s">
        <v>102</v>
      </c>
      <c r="AX173" t="s">
        <v>199</v>
      </c>
      <c r="AZ173" t="s">
        <v>200</v>
      </c>
      <c r="BB173" t="s">
        <v>118</v>
      </c>
      <c r="BC173" t="s">
        <v>969</v>
      </c>
      <c r="BF173" t="s">
        <v>970</v>
      </c>
      <c r="BG173" t="s">
        <v>102</v>
      </c>
      <c r="BH173" t="s">
        <v>102</v>
      </c>
      <c r="BI173" t="s">
        <v>102</v>
      </c>
      <c r="BK173" t="s">
        <v>107</v>
      </c>
      <c r="BQ173">
        <v>5.5</v>
      </c>
      <c r="BR173">
        <v>0.75</v>
      </c>
      <c r="BS173">
        <v>5.5</v>
      </c>
      <c r="BT173">
        <v>5.5</v>
      </c>
      <c r="CA173" t="s">
        <v>971</v>
      </c>
      <c r="CB173" t="s">
        <v>199</v>
      </c>
      <c r="CL173" t="s">
        <v>100</v>
      </c>
      <c r="CM173" t="s">
        <v>102</v>
      </c>
      <c r="CN173" t="s">
        <v>945</v>
      </c>
      <c r="CO173" s="1">
        <v>42387</v>
      </c>
      <c r="CP173" s="1">
        <v>43634</v>
      </c>
    </row>
    <row r="174" spans="1:94" x14ac:dyDescent="0.25">
      <c r="A174" t="s">
        <v>972</v>
      </c>
      <c r="B174" t="str">
        <f xml:space="preserve"> "" &amp; 840254046092</f>
        <v>840254046092</v>
      </c>
      <c r="C174" t="s">
        <v>911</v>
      </c>
      <c r="D174" t="s">
        <v>973</v>
      </c>
      <c r="E174" t="s">
        <v>197</v>
      </c>
      <c r="F174" t="s">
        <v>371</v>
      </c>
      <c r="G174">
        <v>1</v>
      </c>
      <c r="H174">
        <v>1</v>
      </c>
      <c r="I174" t="s">
        <v>99</v>
      </c>
      <c r="J174" s="4">
        <v>235</v>
      </c>
      <c r="K174" s="4">
        <v>705</v>
      </c>
      <c r="O174" t="s">
        <v>100</v>
      </c>
      <c r="P174" s="4">
        <v>494.95</v>
      </c>
      <c r="S174">
        <v>29.75</v>
      </c>
      <c r="T174">
        <v>14</v>
      </c>
      <c r="U174">
        <v>14</v>
      </c>
      <c r="W174">
        <v>15.63</v>
      </c>
      <c r="X174">
        <v>1</v>
      </c>
      <c r="Y174">
        <v>25.5</v>
      </c>
      <c r="Z174">
        <v>16.5</v>
      </c>
      <c r="AA174">
        <v>16.5</v>
      </c>
      <c r="AB174">
        <v>4.0179999999999998</v>
      </c>
      <c r="AC174">
        <v>21.78</v>
      </c>
      <c r="AE174">
        <v>4</v>
      </c>
      <c r="AF174" t="s">
        <v>167</v>
      </c>
      <c r="AG174">
        <v>60</v>
      </c>
      <c r="AK174" t="s">
        <v>102</v>
      </c>
      <c r="AM174" t="s">
        <v>102</v>
      </c>
      <c r="AN174" t="s">
        <v>100</v>
      </c>
      <c r="AO174" t="s">
        <v>102</v>
      </c>
      <c r="AP174" t="s">
        <v>103</v>
      </c>
      <c r="AQ174" t="s">
        <v>104</v>
      </c>
      <c r="AV174" t="s">
        <v>102</v>
      </c>
      <c r="AX174" t="s">
        <v>199</v>
      </c>
      <c r="AZ174" t="s">
        <v>200</v>
      </c>
      <c r="BB174" t="s">
        <v>118</v>
      </c>
      <c r="BC174" t="s">
        <v>969</v>
      </c>
      <c r="BF174" t="s">
        <v>974</v>
      </c>
      <c r="BG174" t="s">
        <v>102</v>
      </c>
      <c r="BH174" t="s">
        <v>102</v>
      </c>
      <c r="BI174" t="s">
        <v>102</v>
      </c>
      <c r="BK174" t="s">
        <v>107</v>
      </c>
      <c r="BQ174">
        <v>5.5</v>
      </c>
      <c r="BR174">
        <v>0.75</v>
      </c>
      <c r="BS174">
        <v>5.5</v>
      </c>
      <c r="BT174">
        <v>5.5</v>
      </c>
      <c r="CA174" t="s">
        <v>975</v>
      </c>
      <c r="CB174" t="s">
        <v>199</v>
      </c>
      <c r="CL174" t="s">
        <v>100</v>
      </c>
      <c r="CM174" t="s">
        <v>100</v>
      </c>
      <c r="CN174" t="s">
        <v>945</v>
      </c>
      <c r="CO174" s="1">
        <v>42387</v>
      </c>
      <c r="CP174" s="1">
        <v>43634</v>
      </c>
    </row>
    <row r="175" spans="1:94" x14ac:dyDescent="0.25">
      <c r="A175" t="s">
        <v>976</v>
      </c>
      <c r="B175" t="str">
        <f xml:space="preserve"> "" &amp; 840254046078</f>
        <v>840254046078</v>
      </c>
      <c r="C175" t="s">
        <v>911</v>
      </c>
      <c r="D175" t="s">
        <v>973</v>
      </c>
      <c r="E175" t="s">
        <v>197</v>
      </c>
      <c r="F175" t="s">
        <v>371</v>
      </c>
      <c r="G175">
        <v>1</v>
      </c>
      <c r="H175">
        <v>1</v>
      </c>
      <c r="I175" t="s">
        <v>99</v>
      </c>
      <c r="J175" s="4">
        <v>335</v>
      </c>
      <c r="K175" s="4">
        <v>1005</v>
      </c>
      <c r="O175" t="s">
        <v>100</v>
      </c>
      <c r="P175" s="4">
        <v>703.95</v>
      </c>
      <c r="S175">
        <v>37.5</v>
      </c>
      <c r="T175">
        <v>17.75</v>
      </c>
      <c r="U175">
        <v>17.75</v>
      </c>
      <c r="W175">
        <v>20.99</v>
      </c>
      <c r="X175">
        <v>1</v>
      </c>
      <c r="Y175">
        <v>32.5</v>
      </c>
      <c r="Z175">
        <v>20</v>
      </c>
      <c r="AA175">
        <v>20</v>
      </c>
      <c r="AB175">
        <v>7.5229999999999997</v>
      </c>
      <c r="AC175">
        <v>31.02</v>
      </c>
      <c r="AE175">
        <v>4</v>
      </c>
      <c r="AF175" t="s">
        <v>167</v>
      </c>
      <c r="AG175">
        <v>60</v>
      </c>
      <c r="AK175" t="s">
        <v>102</v>
      </c>
      <c r="AM175" t="s">
        <v>102</v>
      </c>
      <c r="AN175" t="s">
        <v>100</v>
      </c>
      <c r="AO175" t="s">
        <v>102</v>
      </c>
      <c r="AP175" t="s">
        <v>103</v>
      </c>
      <c r="AQ175" t="s">
        <v>104</v>
      </c>
      <c r="AV175" t="s">
        <v>102</v>
      </c>
      <c r="AX175" t="s">
        <v>199</v>
      </c>
      <c r="AZ175" t="s">
        <v>200</v>
      </c>
      <c r="BB175" t="s">
        <v>118</v>
      </c>
      <c r="BC175" t="s">
        <v>969</v>
      </c>
      <c r="BF175" t="s">
        <v>977</v>
      </c>
      <c r="BG175" t="s">
        <v>102</v>
      </c>
      <c r="BH175" t="s">
        <v>102</v>
      </c>
      <c r="BI175" t="s">
        <v>102</v>
      </c>
      <c r="BK175" t="s">
        <v>107</v>
      </c>
      <c r="BQ175">
        <v>5.5</v>
      </c>
      <c r="BR175">
        <v>0.75</v>
      </c>
      <c r="BS175">
        <v>5.5</v>
      </c>
      <c r="BT175">
        <v>5.5</v>
      </c>
      <c r="CA175" t="s">
        <v>978</v>
      </c>
      <c r="CB175" t="s">
        <v>199</v>
      </c>
      <c r="CL175" t="s">
        <v>100</v>
      </c>
      <c r="CM175" t="s">
        <v>100</v>
      </c>
      <c r="CN175" t="s">
        <v>945</v>
      </c>
      <c r="CO175" s="1">
        <v>42387</v>
      </c>
      <c r="CP175" s="1">
        <v>43634</v>
      </c>
    </row>
    <row r="176" spans="1:94" x14ac:dyDescent="0.25">
      <c r="A176" t="s">
        <v>979</v>
      </c>
      <c r="B176" t="str">
        <f xml:space="preserve"> "" &amp; 840254046085</f>
        <v>840254046085</v>
      </c>
      <c r="C176" t="s">
        <v>390</v>
      </c>
      <c r="D176" t="s">
        <v>980</v>
      </c>
      <c r="E176" t="s">
        <v>197</v>
      </c>
      <c r="F176" t="s">
        <v>371</v>
      </c>
      <c r="G176">
        <v>1</v>
      </c>
      <c r="H176">
        <v>1</v>
      </c>
      <c r="I176" t="s">
        <v>99</v>
      </c>
      <c r="J176" s="4">
        <v>475</v>
      </c>
      <c r="K176" s="4">
        <v>1425</v>
      </c>
      <c r="O176" t="s">
        <v>100</v>
      </c>
      <c r="P176" s="4">
        <v>999.95</v>
      </c>
      <c r="S176">
        <v>42.75</v>
      </c>
      <c r="T176">
        <v>22.5</v>
      </c>
      <c r="U176">
        <v>22.5</v>
      </c>
      <c r="W176">
        <v>28.66</v>
      </c>
      <c r="X176">
        <v>1</v>
      </c>
      <c r="Y176">
        <v>37</v>
      </c>
      <c r="Z176">
        <v>24.75</v>
      </c>
      <c r="AA176">
        <v>24.75</v>
      </c>
      <c r="AB176">
        <v>13.116</v>
      </c>
      <c r="AC176">
        <v>42.02</v>
      </c>
      <c r="AE176">
        <v>6</v>
      </c>
      <c r="AF176" t="s">
        <v>981</v>
      </c>
      <c r="AG176">
        <v>60</v>
      </c>
      <c r="AK176" t="s">
        <v>102</v>
      </c>
      <c r="AM176" t="s">
        <v>102</v>
      </c>
      <c r="AN176" t="s">
        <v>100</v>
      </c>
      <c r="AO176" t="s">
        <v>102</v>
      </c>
      <c r="AP176" t="s">
        <v>103</v>
      </c>
      <c r="AQ176" t="s">
        <v>104</v>
      </c>
      <c r="AV176" t="s">
        <v>102</v>
      </c>
      <c r="AX176" t="s">
        <v>199</v>
      </c>
      <c r="AZ176" t="s">
        <v>200</v>
      </c>
      <c r="BB176" t="s">
        <v>118</v>
      </c>
      <c r="BC176" t="s">
        <v>969</v>
      </c>
      <c r="BF176" t="s">
        <v>982</v>
      </c>
      <c r="BG176" t="s">
        <v>102</v>
      </c>
      <c r="BH176" t="s">
        <v>102</v>
      </c>
      <c r="BI176" t="s">
        <v>102</v>
      </c>
      <c r="BK176" t="s">
        <v>107</v>
      </c>
      <c r="BQ176">
        <v>5.5</v>
      </c>
      <c r="BR176">
        <v>0.75</v>
      </c>
      <c r="BS176">
        <v>5.5</v>
      </c>
      <c r="BT176">
        <v>5.5</v>
      </c>
      <c r="CA176" t="s">
        <v>983</v>
      </c>
      <c r="CB176" t="s">
        <v>199</v>
      </c>
      <c r="CL176" t="s">
        <v>100</v>
      </c>
      <c r="CM176" t="s">
        <v>102</v>
      </c>
      <c r="CN176" t="s">
        <v>945</v>
      </c>
      <c r="CO176" s="1">
        <v>42387</v>
      </c>
      <c r="CP176" s="1">
        <v>43634</v>
      </c>
    </row>
    <row r="177" spans="1:94" x14ac:dyDescent="0.25">
      <c r="A177" t="s">
        <v>984</v>
      </c>
      <c r="B177" t="str">
        <f xml:space="preserve"> "" &amp; 840254047433</f>
        <v>840254047433</v>
      </c>
      <c r="C177" t="s">
        <v>178</v>
      </c>
      <c r="D177" t="s">
        <v>985</v>
      </c>
      <c r="E177" t="s">
        <v>224</v>
      </c>
      <c r="F177" t="s">
        <v>179</v>
      </c>
      <c r="G177">
        <v>1</v>
      </c>
      <c r="H177">
        <v>1</v>
      </c>
      <c r="I177" t="s">
        <v>99</v>
      </c>
      <c r="J177" s="4">
        <v>90</v>
      </c>
      <c r="K177" s="4">
        <v>270</v>
      </c>
      <c r="O177" t="s">
        <v>100</v>
      </c>
      <c r="P177" s="4">
        <v>189.95</v>
      </c>
      <c r="S177">
        <v>14</v>
      </c>
      <c r="U177">
        <v>7</v>
      </c>
      <c r="V177">
        <v>5</v>
      </c>
      <c r="W177">
        <v>6.28</v>
      </c>
      <c r="X177">
        <v>1</v>
      </c>
      <c r="Y177">
        <v>16.5</v>
      </c>
      <c r="Z177">
        <v>9.5</v>
      </c>
      <c r="AA177">
        <v>7.5</v>
      </c>
      <c r="AB177">
        <v>0.68</v>
      </c>
      <c r="AC177">
        <v>7.45</v>
      </c>
      <c r="AE177">
        <v>2</v>
      </c>
      <c r="AF177" t="s">
        <v>187</v>
      </c>
      <c r="AG177">
        <v>60</v>
      </c>
      <c r="AK177" t="s">
        <v>102</v>
      </c>
      <c r="AM177" t="s">
        <v>102</v>
      </c>
      <c r="AN177" t="s">
        <v>100</v>
      </c>
      <c r="AO177" t="s">
        <v>102</v>
      </c>
      <c r="AP177" t="s">
        <v>117</v>
      </c>
      <c r="AQ177" t="s">
        <v>104</v>
      </c>
      <c r="AV177" t="s">
        <v>102</v>
      </c>
      <c r="AX177" t="s">
        <v>225</v>
      </c>
      <c r="AZ177" t="s">
        <v>189</v>
      </c>
      <c r="BB177" t="s">
        <v>118</v>
      </c>
      <c r="BC177" t="s">
        <v>226</v>
      </c>
      <c r="BF177" t="s">
        <v>986</v>
      </c>
      <c r="BG177" t="s">
        <v>102</v>
      </c>
      <c r="BH177" t="s">
        <v>102</v>
      </c>
      <c r="BI177" t="s">
        <v>102</v>
      </c>
      <c r="BK177" t="s">
        <v>191</v>
      </c>
      <c r="BM177">
        <v>7</v>
      </c>
      <c r="BN177">
        <v>14</v>
      </c>
      <c r="CA177" t="s">
        <v>987</v>
      </c>
      <c r="CB177" t="s">
        <v>225</v>
      </c>
      <c r="CL177" t="s">
        <v>100</v>
      </c>
      <c r="CM177" t="s">
        <v>100</v>
      </c>
      <c r="CN177" t="s">
        <v>229</v>
      </c>
      <c r="CO177" s="1">
        <v>42762</v>
      </c>
      <c r="CP177" s="1">
        <v>43634</v>
      </c>
    </row>
    <row r="178" spans="1:94" x14ac:dyDescent="0.25">
      <c r="A178" t="s">
        <v>988</v>
      </c>
      <c r="B178" t="str">
        <f xml:space="preserve"> "" &amp; 840254047440</f>
        <v>840254047440</v>
      </c>
      <c r="C178" t="s">
        <v>989</v>
      </c>
      <c r="D178" t="s">
        <v>990</v>
      </c>
      <c r="E178" t="s">
        <v>224</v>
      </c>
      <c r="F178" t="s">
        <v>371</v>
      </c>
      <c r="G178">
        <v>1</v>
      </c>
      <c r="H178">
        <v>1</v>
      </c>
      <c r="I178" t="s">
        <v>99</v>
      </c>
      <c r="J178" s="4">
        <v>195</v>
      </c>
      <c r="K178" s="4">
        <v>585</v>
      </c>
      <c r="O178" t="s">
        <v>100</v>
      </c>
      <c r="P178" s="4">
        <v>409.95</v>
      </c>
      <c r="S178">
        <v>23.75</v>
      </c>
      <c r="T178">
        <v>10</v>
      </c>
      <c r="U178">
        <v>10</v>
      </c>
      <c r="W178">
        <v>17.11</v>
      </c>
      <c r="X178">
        <v>1</v>
      </c>
      <c r="Y178">
        <v>19.75</v>
      </c>
      <c r="Z178">
        <v>12.5</v>
      </c>
      <c r="AA178">
        <v>12.5</v>
      </c>
      <c r="AB178">
        <v>1.786</v>
      </c>
      <c r="AC178">
        <v>19.64</v>
      </c>
      <c r="AE178">
        <v>4</v>
      </c>
      <c r="AF178" t="s">
        <v>187</v>
      </c>
      <c r="AG178">
        <v>60</v>
      </c>
      <c r="AK178" t="s">
        <v>102</v>
      </c>
      <c r="AM178" t="s">
        <v>102</v>
      </c>
      <c r="AN178" t="s">
        <v>100</v>
      </c>
      <c r="AO178" t="s">
        <v>102</v>
      </c>
      <c r="AP178" t="s">
        <v>117</v>
      </c>
      <c r="AQ178" t="s">
        <v>104</v>
      </c>
      <c r="AV178" t="s">
        <v>102</v>
      </c>
      <c r="AX178" t="s">
        <v>225</v>
      </c>
      <c r="AZ178" t="s">
        <v>189</v>
      </c>
      <c r="BB178" t="s">
        <v>118</v>
      </c>
      <c r="BC178" t="s">
        <v>226</v>
      </c>
      <c r="BF178" t="s">
        <v>991</v>
      </c>
      <c r="BG178" t="s">
        <v>102</v>
      </c>
      <c r="BH178" t="s">
        <v>102</v>
      </c>
      <c r="BI178" t="s">
        <v>102</v>
      </c>
      <c r="BK178" t="s">
        <v>107</v>
      </c>
      <c r="BR178">
        <v>1</v>
      </c>
      <c r="BS178">
        <v>5.13</v>
      </c>
      <c r="BT178">
        <v>5.13</v>
      </c>
      <c r="CA178" t="s">
        <v>992</v>
      </c>
      <c r="CB178" t="s">
        <v>225</v>
      </c>
      <c r="CL178" t="s">
        <v>100</v>
      </c>
      <c r="CM178" t="s">
        <v>100</v>
      </c>
      <c r="CN178" t="s">
        <v>229</v>
      </c>
      <c r="CO178" s="1">
        <v>42762</v>
      </c>
      <c r="CP178" s="1">
        <v>43634</v>
      </c>
    </row>
    <row r="179" spans="1:94" x14ac:dyDescent="0.25">
      <c r="A179" t="s">
        <v>993</v>
      </c>
      <c r="B179" t="str">
        <f xml:space="preserve"> "" &amp; 840254047457</f>
        <v>840254047457</v>
      </c>
      <c r="C179" t="s">
        <v>994</v>
      </c>
      <c r="D179" t="s">
        <v>995</v>
      </c>
      <c r="E179" t="s">
        <v>224</v>
      </c>
      <c r="F179" t="s">
        <v>371</v>
      </c>
      <c r="G179">
        <v>1</v>
      </c>
      <c r="H179">
        <v>1</v>
      </c>
      <c r="I179" t="s">
        <v>99</v>
      </c>
      <c r="J179" s="4">
        <v>275</v>
      </c>
      <c r="K179" s="4">
        <v>825</v>
      </c>
      <c r="O179" t="s">
        <v>100</v>
      </c>
      <c r="P179" s="4">
        <v>579.95000000000005</v>
      </c>
      <c r="S179">
        <v>30</v>
      </c>
      <c r="T179">
        <v>14</v>
      </c>
      <c r="U179">
        <v>14</v>
      </c>
      <c r="W179">
        <v>22.22</v>
      </c>
      <c r="X179">
        <v>1</v>
      </c>
      <c r="Y179">
        <v>20.75</v>
      </c>
      <c r="Z179">
        <v>16.5</v>
      </c>
      <c r="AA179">
        <v>16.5</v>
      </c>
      <c r="AB179">
        <v>3.2690000000000001</v>
      </c>
      <c r="AC179">
        <v>25.79</v>
      </c>
      <c r="AE179">
        <v>4</v>
      </c>
      <c r="AF179" t="s">
        <v>187</v>
      </c>
      <c r="AG179">
        <v>60</v>
      </c>
      <c r="AK179" t="s">
        <v>102</v>
      </c>
      <c r="AM179" t="s">
        <v>102</v>
      </c>
      <c r="AN179" t="s">
        <v>100</v>
      </c>
      <c r="AO179" t="s">
        <v>102</v>
      </c>
      <c r="AP179" t="s">
        <v>117</v>
      </c>
      <c r="AQ179" t="s">
        <v>104</v>
      </c>
      <c r="AV179" t="s">
        <v>102</v>
      </c>
      <c r="AX179" t="s">
        <v>225</v>
      </c>
      <c r="AZ179" t="s">
        <v>189</v>
      </c>
      <c r="BB179" t="s">
        <v>118</v>
      </c>
      <c r="BC179" t="s">
        <v>661</v>
      </c>
      <c r="BF179" t="s">
        <v>996</v>
      </c>
      <c r="BG179" t="s">
        <v>102</v>
      </c>
      <c r="BH179" t="s">
        <v>102</v>
      </c>
      <c r="BI179" t="s">
        <v>102</v>
      </c>
      <c r="BK179" t="s">
        <v>107</v>
      </c>
      <c r="BR179">
        <v>1</v>
      </c>
      <c r="BS179">
        <v>5.13</v>
      </c>
      <c r="BT179">
        <v>5.13</v>
      </c>
      <c r="CA179" t="s">
        <v>997</v>
      </c>
      <c r="CB179" t="s">
        <v>225</v>
      </c>
      <c r="CL179" t="s">
        <v>100</v>
      </c>
      <c r="CM179" t="s">
        <v>102</v>
      </c>
      <c r="CN179" t="s">
        <v>229</v>
      </c>
      <c r="CO179" s="1">
        <v>42762</v>
      </c>
      <c r="CP179" s="1">
        <v>43634</v>
      </c>
    </row>
    <row r="180" spans="1:94" x14ac:dyDescent="0.25">
      <c r="A180" t="s">
        <v>998</v>
      </c>
      <c r="B180" t="str">
        <f xml:space="preserve"> "" &amp; 840254048591</f>
        <v>840254048591</v>
      </c>
      <c r="C180" t="s">
        <v>999</v>
      </c>
      <c r="D180" t="s">
        <v>1000</v>
      </c>
      <c r="E180" t="s">
        <v>224</v>
      </c>
      <c r="F180" t="s">
        <v>710</v>
      </c>
      <c r="G180">
        <v>1</v>
      </c>
      <c r="H180">
        <v>1</v>
      </c>
      <c r="I180" t="s">
        <v>99</v>
      </c>
      <c r="J180" s="4">
        <v>185</v>
      </c>
      <c r="K180" s="4">
        <v>555</v>
      </c>
      <c r="O180" t="s">
        <v>100</v>
      </c>
      <c r="P180" s="4">
        <v>389.95</v>
      </c>
      <c r="S180">
        <v>13</v>
      </c>
      <c r="T180">
        <v>16</v>
      </c>
      <c r="U180">
        <v>16</v>
      </c>
      <c r="W180">
        <v>4.5199999999999996</v>
      </c>
      <c r="X180">
        <v>1</v>
      </c>
      <c r="Y180">
        <v>10.75</v>
      </c>
      <c r="Z180">
        <v>18.5</v>
      </c>
      <c r="AA180">
        <v>18.5</v>
      </c>
      <c r="AB180">
        <v>2.129</v>
      </c>
      <c r="AC180">
        <v>6.02</v>
      </c>
      <c r="AE180">
        <v>4</v>
      </c>
      <c r="AF180" t="s">
        <v>167</v>
      </c>
      <c r="AG180">
        <v>60</v>
      </c>
      <c r="AK180" t="s">
        <v>102</v>
      </c>
      <c r="AM180" t="s">
        <v>102</v>
      </c>
      <c r="AN180" t="s">
        <v>100</v>
      </c>
      <c r="AO180" t="s">
        <v>102</v>
      </c>
      <c r="AP180" t="s">
        <v>117</v>
      </c>
      <c r="AQ180" t="s">
        <v>104</v>
      </c>
      <c r="AV180" t="s">
        <v>102</v>
      </c>
      <c r="AX180" t="s">
        <v>225</v>
      </c>
      <c r="AZ180" t="s">
        <v>189</v>
      </c>
      <c r="BB180" t="s">
        <v>118</v>
      </c>
      <c r="BC180" t="s">
        <v>1001</v>
      </c>
      <c r="BF180" t="s">
        <v>1002</v>
      </c>
      <c r="BG180" t="s">
        <v>102</v>
      </c>
      <c r="BH180" t="s">
        <v>102</v>
      </c>
      <c r="BI180" t="s">
        <v>102</v>
      </c>
      <c r="BK180" t="s">
        <v>107</v>
      </c>
      <c r="BS180">
        <v>5.88</v>
      </c>
      <c r="BT180">
        <v>5.88</v>
      </c>
      <c r="CA180" t="s">
        <v>1003</v>
      </c>
      <c r="CB180" t="s">
        <v>225</v>
      </c>
      <c r="CL180" t="s">
        <v>100</v>
      </c>
      <c r="CM180" t="s">
        <v>102</v>
      </c>
      <c r="CO180" s="1">
        <v>42908</v>
      </c>
      <c r="CP180" s="1">
        <v>43634</v>
      </c>
    </row>
    <row r="181" spans="1:94" x14ac:dyDescent="0.25">
      <c r="A181" t="s">
        <v>1004</v>
      </c>
      <c r="B181" t="str">
        <f xml:space="preserve"> "" &amp; 840254047464</f>
        <v>840254047464</v>
      </c>
      <c r="C181" t="s">
        <v>390</v>
      </c>
      <c r="D181" t="s">
        <v>1005</v>
      </c>
      <c r="E181" t="s">
        <v>224</v>
      </c>
      <c r="F181" t="s">
        <v>371</v>
      </c>
      <c r="G181">
        <v>1</v>
      </c>
      <c r="H181">
        <v>1</v>
      </c>
      <c r="I181" t="s">
        <v>99</v>
      </c>
      <c r="J181" s="4">
        <v>395</v>
      </c>
      <c r="K181" s="4">
        <v>1185</v>
      </c>
      <c r="O181" t="s">
        <v>100</v>
      </c>
      <c r="P181" s="4">
        <v>829.95</v>
      </c>
      <c r="S181">
        <v>34.5</v>
      </c>
      <c r="T181">
        <v>18</v>
      </c>
      <c r="U181">
        <v>18</v>
      </c>
      <c r="W181">
        <v>30.91</v>
      </c>
      <c r="X181">
        <v>1</v>
      </c>
      <c r="Y181">
        <v>25.75</v>
      </c>
      <c r="Z181">
        <v>20.5</v>
      </c>
      <c r="AA181">
        <v>20.5</v>
      </c>
      <c r="AB181">
        <v>6.2619999999999996</v>
      </c>
      <c r="AC181">
        <v>36.82</v>
      </c>
      <c r="AE181">
        <v>6</v>
      </c>
      <c r="AF181" t="s">
        <v>187</v>
      </c>
      <c r="AG181">
        <v>60</v>
      </c>
      <c r="AK181" t="s">
        <v>102</v>
      </c>
      <c r="AM181" t="s">
        <v>102</v>
      </c>
      <c r="AN181" t="s">
        <v>100</v>
      </c>
      <c r="AO181" t="s">
        <v>102</v>
      </c>
      <c r="AP181" t="s">
        <v>117</v>
      </c>
      <c r="AQ181" t="s">
        <v>104</v>
      </c>
      <c r="AV181" t="s">
        <v>102</v>
      </c>
      <c r="AX181" t="s">
        <v>225</v>
      </c>
      <c r="AZ181" t="s">
        <v>189</v>
      </c>
      <c r="BB181" t="s">
        <v>118</v>
      </c>
      <c r="BC181" t="s">
        <v>661</v>
      </c>
      <c r="BF181" t="s">
        <v>1006</v>
      </c>
      <c r="BG181" t="s">
        <v>102</v>
      </c>
      <c r="BH181" t="s">
        <v>102</v>
      </c>
      <c r="BI181" t="s">
        <v>102</v>
      </c>
      <c r="BK181" t="s">
        <v>107</v>
      </c>
      <c r="BR181">
        <v>1</v>
      </c>
      <c r="BS181">
        <v>5.13</v>
      </c>
      <c r="BT181">
        <v>5.13</v>
      </c>
      <c r="CA181" t="s">
        <v>1007</v>
      </c>
      <c r="CB181" t="s">
        <v>225</v>
      </c>
      <c r="CL181" t="s">
        <v>100</v>
      </c>
      <c r="CM181" t="s">
        <v>102</v>
      </c>
      <c r="CN181" t="s">
        <v>229</v>
      </c>
      <c r="CO181" s="1">
        <v>42762</v>
      </c>
      <c r="CP181" s="1">
        <v>43634</v>
      </c>
    </row>
    <row r="182" spans="1:94" x14ac:dyDescent="0.25">
      <c r="A182" t="s">
        <v>1008</v>
      </c>
      <c r="B182" t="str">
        <f xml:space="preserve"> "" &amp; 840254047471</f>
        <v>840254047471</v>
      </c>
      <c r="C182" t="s">
        <v>1009</v>
      </c>
      <c r="D182" t="s">
        <v>1010</v>
      </c>
      <c r="E182" t="s">
        <v>224</v>
      </c>
      <c r="F182" t="s">
        <v>828</v>
      </c>
      <c r="G182">
        <v>1</v>
      </c>
      <c r="H182">
        <v>1</v>
      </c>
      <c r="I182" t="s">
        <v>99</v>
      </c>
      <c r="J182" s="4">
        <v>395</v>
      </c>
      <c r="K182" s="4">
        <v>1185</v>
      </c>
      <c r="O182" t="s">
        <v>100</v>
      </c>
      <c r="P182" s="4">
        <v>829.95</v>
      </c>
      <c r="S182">
        <v>12</v>
      </c>
      <c r="T182">
        <v>41</v>
      </c>
      <c r="U182">
        <v>14</v>
      </c>
      <c r="W182">
        <v>28.04</v>
      </c>
      <c r="X182">
        <v>1</v>
      </c>
      <c r="Y182">
        <v>15.5</v>
      </c>
      <c r="Z182">
        <v>44</v>
      </c>
      <c r="AA182">
        <v>16.75</v>
      </c>
      <c r="AB182">
        <v>6.6109999999999998</v>
      </c>
      <c r="AC182">
        <v>34.15</v>
      </c>
      <c r="AE182">
        <v>8</v>
      </c>
      <c r="AF182" t="s">
        <v>187</v>
      </c>
      <c r="AG182">
        <v>60</v>
      </c>
      <c r="AK182" t="s">
        <v>100</v>
      </c>
      <c r="AM182" t="s">
        <v>102</v>
      </c>
      <c r="AN182" t="s">
        <v>100</v>
      </c>
      <c r="AO182" t="s">
        <v>102</v>
      </c>
      <c r="AP182" t="s">
        <v>117</v>
      </c>
      <c r="AQ182" t="s">
        <v>104</v>
      </c>
      <c r="AV182" t="s">
        <v>102</v>
      </c>
      <c r="AX182" t="s">
        <v>225</v>
      </c>
      <c r="AZ182" t="s">
        <v>189</v>
      </c>
      <c r="BB182" t="s">
        <v>118</v>
      </c>
      <c r="BC182" t="s">
        <v>226</v>
      </c>
      <c r="BF182" t="s">
        <v>1011</v>
      </c>
      <c r="BG182" t="s">
        <v>102</v>
      </c>
      <c r="BH182" t="s">
        <v>102</v>
      </c>
      <c r="BI182" t="s">
        <v>102</v>
      </c>
      <c r="BK182" t="s">
        <v>107</v>
      </c>
      <c r="BR182">
        <v>0.75</v>
      </c>
      <c r="BS182">
        <v>12</v>
      </c>
      <c r="BT182">
        <v>5</v>
      </c>
      <c r="CA182" t="s">
        <v>1012</v>
      </c>
      <c r="CB182" t="s">
        <v>225</v>
      </c>
      <c r="CL182" t="s">
        <v>100</v>
      </c>
      <c r="CM182" t="s">
        <v>102</v>
      </c>
      <c r="CN182" t="s">
        <v>229</v>
      </c>
      <c r="CO182" s="1">
        <v>42762</v>
      </c>
      <c r="CP182" s="1">
        <v>43634</v>
      </c>
    </row>
    <row r="183" spans="1:94" x14ac:dyDescent="0.25">
      <c r="A183" t="s">
        <v>1013</v>
      </c>
      <c r="B183" t="str">
        <f xml:space="preserve"> "" &amp; 840254033931</f>
        <v>840254033931</v>
      </c>
      <c r="C183" t="s">
        <v>1014</v>
      </c>
      <c r="D183" t="s">
        <v>1015</v>
      </c>
      <c r="E183" t="s">
        <v>1016</v>
      </c>
      <c r="F183" t="s">
        <v>179</v>
      </c>
      <c r="G183">
        <v>1</v>
      </c>
      <c r="H183">
        <v>1</v>
      </c>
      <c r="I183" t="s">
        <v>99</v>
      </c>
      <c r="J183" s="4">
        <v>285</v>
      </c>
      <c r="K183" s="4">
        <v>855</v>
      </c>
      <c r="O183" t="s">
        <v>100</v>
      </c>
      <c r="P183" s="4">
        <v>599.95000000000005</v>
      </c>
      <c r="S183">
        <v>65.25</v>
      </c>
      <c r="U183">
        <v>10.75</v>
      </c>
      <c r="V183">
        <v>6.5</v>
      </c>
      <c r="W183">
        <v>10.25</v>
      </c>
      <c r="X183">
        <v>1</v>
      </c>
      <c r="Y183">
        <v>10</v>
      </c>
      <c r="Z183">
        <v>24.5</v>
      </c>
      <c r="AA183">
        <v>9.5</v>
      </c>
      <c r="AB183">
        <v>1.347</v>
      </c>
      <c r="AC183">
        <v>12.57</v>
      </c>
      <c r="AE183">
        <v>2</v>
      </c>
      <c r="AF183" t="s">
        <v>333</v>
      </c>
      <c r="AG183">
        <v>100</v>
      </c>
      <c r="AH183">
        <v>0</v>
      </c>
      <c r="AJ183">
        <v>0</v>
      </c>
      <c r="AK183" t="s">
        <v>102</v>
      </c>
      <c r="AL183">
        <v>1</v>
      </c>
      <c r="AM183" t="s">
        <v>102</v>
      </c>
      <c r="AN183" t="s">
        <v>102</v>
      </c>
      <c r="AO183" t="s">
        <v>100</v>
      </c>
      <c r="AP183" t="s">
        <v>117</v>
      </c>
      <c r="AQ183" t="s">
        <v>104</v>
      </c>
      <c r="AV183" t="s">
        <v>102</v>
      </c>
      <c r="AX183" t="s">
        <v>650</v>
      </c>
      <c r="AZ183" t="s">
        <v>163</v>
      </c>
      <c r="BB183" t="s">
        <v>118</v>
      </c>
      <c r="BC183" t="s">
        <v>1017</v>
      </c>
      <c r="BF183" t="s">
        <v>1018</v>
      </c>
      <c r="BG183" t="s">
        <v>102</v>
      </c>
      <c r="BH183" t="s">
        <v>102</v>
      </c>
      <c r="BI183" t="s">
        <v>102</v>
      </c>
      <c r="BK183" t="s">
        <v>191</v>
      </c>
      <c r="BL183" t="s">
        <v>180</v>
      </c>
      <c r="BT183">
        <v>5.13</v>
      </c>
      <c r="CA183" t="s">
        <v>1019</v>
      </c>
      <c r="CB183" t="s">
        <v>650</v>
      </c>
      <c r="CL183" t="s">
        <v>102</v>
      </c>
      <c r="CM183" t="s">
        <v>102</v>
      </c>
      <c r="CN183" t="s">
        <v>1020</v>
      </c>
      <c r="CO183" s="1">
        <v>39260</v>
      </c>
      <c r="CP183" s="1">
        <v>43634</v>
      </c>
    </row>
    <row r="184" spans="1:94" x14ac:dyDescent="0.25">
      <c r="A184" t="s">
        <v>1021</v>
      </c>
      <c r="B184" t="str">
        <f xml:space="preserve"> "" &amp; 840254034655</f>
        <v>840254034655</v>
      </c>
      <c r="C184" t="s">
        <v>1022</v>
      </c>
      <c r="D184" t="s">
        <v>1023</v>
      </c>
      <c r="E184" t="s">
        <v>1016</v>
      </c>
      <c r="F184" t="s">
        <v>98</v>
      </c>
      <c r="G184">
        <v>1</v>
      </c>
      <c r="H184">
        <v>1</v>
      </c>
      <c r="I184" t="s">
        <v>99</v>
      </c>
      <c r="J184" s="4">
        <v>3395</v>
      </c>
      <c r="K184" s="4">
        <v>10185</v>
      </c>
      <c r="O184" t="s">
        <v>100</v>
      </c>
      <c r="P184" s="4">
        <v>7129.95</v>
      </c>
      <c r="S184">
        <v>90.75</v>
      </c>
      <c r="U184">
        <v>67.75</v>
      </c>
      <c r="W184">
        <v>206.35</v>
      </c>
      <c r="X184">
        <v>1</v>
      </c>
      <c r="Y184">
        <v>54</v>
      </c>
      <c r="Z184">
        <v>71.5</v>
      </c>
      <c r="AA184">
        <v>30</v>
      </c>
      <c r="AB184">
        <v>67.031000000000006</v>
      </c>
      <c r="AC184">
        <v>245.64</v>
      </c>
      <c r="AE184">
        <v>11</v>
      </c>
      <c r="AF184" t="s">
        <v>167</v>
      </c>
      <c r="AG184">
        <v>60</v>
      </c>
      <c r="AH184">
        <v>6</v>
      </c>
      <c r="AI184" t="s">
        <v>167</v>
      </c>
      <c r="AJ184">
        <v>60</v>
      </c>
      <c r="AK184" t="s">
        <v>102</v>
      </c>
      <c r="AL184">
        <v>21</v>
      </c>
      <c r="AM184" t="s">
        <v>102</v>
      </c>
      <c r="AN184" t="s">
        <v>102</v>
      </c>
      <c r="AO184" t="s">
        <v>100</v>
      </c>
      <c r="AP184" t="s">
        <v>103</v>
      </c>
      <c r="AQ184" t="s">
        <v>104</v>
      </c>
      <c r="AV184" t="s">
        <v>102</v>
      </c>
      <c r="AX184" t="s">
        <v>650</v>
      </c>
      <c r="AZ184" t="s">
        <v>163</v>
      </c>
      <c r="BB184" t="s">
        <v>54</v>
      </c>
      <c r="BC184" t="s">
        <v>1024</v>
      </c>
      <c r="BF184" t="s">
        <v>1025</v>
      </c>
      <c r="BG184" t="s">
        <v>102</v>
      </c>
      <c r="BH184" t="s">
        <v>102</v>
      </c>
      <c r="BI184" t="s">
        <v>102</v>
      </c>
      <c r="BK184" t="s">
        <v>107</v>
      </c>
      <c r="CA184" t="s">
        <v>1026</v>
      </c>
      <c r="CB184" t="s">
        <v>650</v>
      </c>
      <c r="CL184" t="s">
        <v>102</v>
      </c>
      <c r="CM184" t="s">
        <v>102</v>
      </c>
      <c r="CN184" t="s">
        <v>1027</v>
      </c>
      <c r="CO184" s="1">
        <v>39914</v>
      </c>
      <c r="CP184" s="1">
        <v>43634</v>
      </c>
    </row>
    <row r="185" spans="1:94" x14ac:dyDescent="0.25">
      <c r="A185" t="s">
        <v>1029</v>
      </c>
      <c r="B185" t="str">
        <f xml:space="preserve"> "" &amp; 840254034006</f>
        <v>840254034006</v>
      </c>
      <c r="C185" t="s">
        <v>1030</v>
      </c>
      <c r="D185" t="s">
        <v>1031</v>
      </c>
      <c r="E185" t="s">
        <v>1016</v>
      </c>
      <c r="F185" t="s">
        <v>98</v>
      </c>
      <c r="G185">
        <v>1</v>
      </c>
      <c r="H185">
        <v>1</v>
      </c>
      <c r="I185" t="s">
        <v>99</v>
      </c>
      <c r="J185" s="4">
        <v>1595</v>
      </c>
      <c r="K185" s="4">
        <v>4785</v>
      </c>
      <c r="O185" t="s">
        <v>100</v>
      </c>
      <c r="P185" s="4">
        <v>3349.95</v>
      </c>
      <c r="S185">
        <v>70.75</v>
      </c>
      <c r="U185">
        <v>54</v>
      </c>
      <c r="W185">
        <v>114.64</v>
      </c>
      <c r="X185">
        <v>1</v>
      </c>
      <c r="Y185">
        <v>40.5</v>
      </c>
      <c r="Z185">
        <v>57.5</v>
      </c>
      <c r="AA185">
        <v>24.5</v>
      </c>
      <c r="AB185">
        <v>33.018000000000001</v>
      </c>
      <c r="AC185">
        <v>151.46</v>
      </c>
      <c r="AE185">
        <v>12</v>
      </c>
      <c r="AF185" t="s">
        <v>167</v>
      </c>
      <c r="AG185">
        <v>60</v>
      </c>
      <c r="AH185">
        <v>1</v>
      </c>
      <c r="AI185" t="s">
        <v>176</v>
      </c>
      <c r="AJ185">
        <v>60</v>
      </c>
      <c r="AK185" t="s">
        <v>102</v>
      </c>
      <c r="AL185">
        <v>13</v>
      </c>
      <c r="AM185" t="s">
        <v>102</v>
      </c>
      <c r="AN185" t="s">
        <v>102</v>
      </c>
      <c r="AO185" t="s">
        <v>100</v>
      </c>
      <c r="AP185" t="s">
        <v>103</v>
      </c>
      <c r="AQ185" t="s">
        <v>104</v>
      </c>
      <c r="AV185" t="s">
        <v>102</v>
      </c>
      <c r="AX185" t="s">
        <v>650</v>
      </c>
      <c r="AZ185" t="s">
        <v>163</v>
      </c>
      <c r="BB185" t="s">
        <v>54</v>
      </c>
      <c r="BC185" t="s">
        <v>1024</v>
      </c>
      <c r="BF185" t="s">
        <v>1032</v>
      </c>
      <c r="BG185" t="s">
        <v>102</v>
      </c>
      <c r="BH185" t="s">
        <v>102</v>
      </c>
      <c r="BI185" t="s">
        <v>102</v>
      </c>
      <c r="BK185" t="s">
        <v>107</v>
      </c>
      <c r="BR185">
        <v>2.25</v>
      </c>
      <c r="BT185">
        <v>8.1300000000000008</v>
      </c>
      <c r="CA185" t="s">
        <v>1033</v>
      </c>
      <c r="CB185" t="s">
        <v>650</v>
      </c>
      <c r="CL185" t="s">
        <v>102</v>
      </c>
      <c r="CM185" t="s">
        <v>102</v>
      </c>
      <c r="CN185" t="s">
        <v>1028</v>
      </c>
      <c r="CO185" s="1">
        <v>39333</v>
      </c>
      <c r="CP185" s="1">
        <v>43634</v>
      </c>
    </row>
    <row r="186" spans="1:94" x14ac:dyDescent="0.25">
      <c r="A186" t="s">
        <v>1039</v>
      </c>
      <c r="B186" t="str">
        <f xml:space="preserve"> "" &amp; 840254024779</f>
        <v>840254024779</v>
      </c>
      <c r="C186" t="s">
        <v>740</v>
      </c>
      <c r="D186" t="s">
        <v>1040</v>
      </c>
      <c r="E186" t="s">
        <v>737</v>
      </c>
      <c r="F186" t="s">
        <v>98</v>
      </c>
      <c r="G186">
        <v>1</v>
      </c>
      <c r="H186">
        <v>1</v>
      </c>
      <c r="I186" t="s">
        <v>99</v>
      </c>
      <c r="J186" s="4">
        <v>1095</v>
      </c>
      <c r="K186" s="4">
        <v>3285</v>
      </c>
      <c r="O186" t="s">
        <v>100</v>
      </c>
      <c r="P186" s="4">
        <v>2299.9499999999998</v>
      </c>
      <c r="S186">
        <v>39</v>
      </c>
      <c r="T186">
        <v>34</v>
      </c>
      <c r="U186">
        <v>34</v>
      </c>
      <c r="W186">
        <v>40.28</v>
      </c>
      <c r="X186">
        <v>1</v>
      </c>
      <c r="Y186">
        <v>31.75</v>
      </c>
      <c r="Z186">
        <v>38.5</v>
      </c>
      <c r="AA186">
        <v>34</v>
      </c>
      <c r="AB186">
        <v>24.050999999999998</v>
      </c>
      <c r="AC186">
        <v>66.09</v>
      </c>
      <c r="AE186">
        <v>6</v>
      </c>
      <c r="AF186" t="s">
        <v>333</v>
      </c>
      <c r="AG186">
        <v>60</v>
      </c>
      <c r="AH186">
        <v>0</v>
      </c>
      <c r="AJ186">
        <v>0</v>
      </c>
      <c r="AK186" t="s">
        <v>102</v>
      </c>
      <c r="AL186">
        <v>6</v>
      </c>
      <c r="AM186" t="s">
        <v>102</v>
      </c>
      <c r="AN186" t="s">
        <v>102</v>
      </c>
      <c r="AO186" t="s">
        <v>100</v>
      </c>
      <c r="AP186" t="s">
        <v>103</v>
      </c>
      <c r="AQ186" t="s">
        <v>104</v>
      </c>
      <c r="AV186" t="s">
        <v>102</v>
      </c>
      <c r="AX186" t="s">
        <v>738</v>
      </c>
      <c r="AZ186" t="s">
        <v>163</v>
      </c>
      <c r="BB186" t="s">
        <v>1035</v>
      </c>
      <c r="BF186" t="s">
        <v>1041</v>
      </c>
      <c r="BG186" t="s">
        <v>102</v>
      </c>
      <c r="BH186" t="s">
        <v>102</v>
      </c>
      <c r="BI186" t="s">
        <v>102</v>
      </c>
      <c r="BK186" t="s">
        <v>107</v>
      </c>
      <c r="BR186">
        <v>2</v>
      </c>
      <c r="BT186">
        <v>6.75</v>
      </c>
      <c r="CA186" t="s">
        <v>1042</v>
      </c>
      <c r="CB186" t="s">
        <v>738</v>
      </c>
      <c r="CL186" t="s">
        <v>102</v>
      </c>
      <c r="CM186" t="s">
        <v>102</v>
      </c>
      <c r="CN186" t="s">
        <v>1036</v>
      </c>
      <c r="CO186" s="1">
        <v>38148</v>
      </c>
      <c r="CP186" s="1">
        <v>43634</v>
      </c>
    </row>
    <row r="187" spans="1:94" x14ac:dyDescent="0.25">
      <c r="A187" t="s">
        <v>1043</v>
      </c>
      <c r="B187" t="str">
        <f xml:space="preserve"> "" &amp; 840254024786</f>
        <v>840254024786</v>
      </c>
      <c r="C187" t="s">
        <v>833</v>
      </c>
      <c r="D187" t="s">
        <v>1044</v>
      </c>
      <c r="E187" t="s">
        <v>737</v>
      </c>
      <c r="F187" t="s">
        <v>98</v>
      </c>
      <c r="G187">
        <v>1</v>
      </c>
      <c r="H187">
        <v>1</v>
      </c>
      <c r="I187" t="s">
        <v>99</v>
      </c>
      <c r="J187" s="4">
        <v>1295</v>
      </c>
      <c r="K187" s="4">
        <v>3885</v>
      </c>
      <c r="O187" t="s">
        <v>100</v>
      </c>
      <c r="P187" s="4">
        <v>2719.95</v>
      </c>
      <c r="S187">
        <v>45</v>
      </c>
      <c r="T187">
        <v>40</v>
      </c>
      <c r="U187">
        <v>40</v>
      </c>
      <c r="W187">
        <v>50</v>
      </c>
      <c r="X187">
        <v>1</v>
      </c>
      <c r="Y187">
        <v>37.5</v>
      </c>
      <c r="Z187">
        <v>44.5</v>
      </c>
      <c r="AA187">
        <v>39.5</v>
      </c>
      <c r="AB187">
        <v>38.146000000000001</v>
      </c>
      <c r="AC187">
        <v>83.73</v>
      </c>
      <c r="AE187">
        <v>9</v>
      </c>
      <c r="AF187" t="s">
        <v>333</v>
      </c>
      <c r="AG187">
        <v>60</v>
      </c>
      <c r="AK187" t="s">
        <v>102</v>
      </c>
      <c r="AL187">
        <v>9</v>
      </c>
      <c r="AM187" t="s">
        <v>102</v>
      </c>
      <c r="AN187" t="s">
        <v>102</v>
      </c>
      <c r="AO187" t="s">
        <v>100</v>
      </c>
      <c r="AP187" t="s">
        <v>103</v>
      </c>
      <c r="AQ187" t="s">
        <v>104</v>
      </c>
      <c r="AV187" t="s">
        <v>102</v>
      </c>
      <c r="AX187" t="s">
        <v>738</v>
      </c>
      <c r="AZ187" t="s">
        <v>163</v>
      </c>
      <c r="BB187" t="s">
        <v>1035</v>
      </c>
      <c r="BF187" t="s">
        <v>1045</v>
      </c>
      <c r="BG187" t="s">
        <v>102</v>
      </c>
      <c r="BH187" t="s">
        <v>102</v>
      </c>
      <c r="BI187" t="s">
        <v>102</v>
      </c>
      <c r="BK187" t="s">
        <v>107</v>
      </c>
      <c r="BR187">
        <v>2</v>
      </c>
      <c r="BT187">
        <v>6.75</v>
      </c>
      <c r="CA187" t="s">
        <v>1046</v>
      </c>
      <c r="CB187" t="s">
        <v>738</v>
      </c>
      <c r="CL187" t="s">
        <v>102</v>
      </c>
      <c r="CM187" t="s">
        <v>102</v>
      </c>
      <c r="CN187" t="s">
        <v>1036</v>
      </c>
      <c r="CO187" s="1">
        <v>38156</v>
      </c>
      <c r="CP187" s="1">
        <v>43634</v>
      </c>
    </row>
    <row r="188" spans="1:94" x14ac:dyDescent="0.25">
      <c r="A188" t="s">
        <v>1047</v>
      </c>
      <c r="B188" t="str">
        <f xml:space="preserve"> "" &amp; 840254027350</f>
        <v>840254027350</v>
      </c>
      <c r="C188" t="s">
        <v>1048</v>
      </c>
      <c r="D188" t="s">
        <v>1049</v>
      </c>
      <c r="E188" t="s">
        <v>737</v>
      </c>
      <c r="F188" t="s">
        <v>710</v>
      </c>
      <c r="G188">
        <v>1</v>
      </c>
      <c r="H188">
        <v>1</v>
      </c>
      <c r="I188" t="s">
        <v>99</v>
      </c>
      <c r="J188" s="4">
        <v>295</v>
      </c>
      <c r="K188" s="4">
        <v>885</v>
      </c>
      <c r="O188" t="s">
        <v>100</v>
      </c>
      <c r="P188" s="4">
        <v>619.95000000000005</v>
      </c>
      <c r="S188">
        <v>17</v>
      </c>
      <c r="T188">
        <v>23.5</v>
      </c>
      <c r="U188">
        <v>23.5</v>
      </c>
      <c r="W188">
        <v>20.64</v>
      </c>
      <c r="X188">
        <v>1</v>
      </c>
      <c r="Y188">
        <v>17.25</v>
      </c>
      <c r="Z188">
        <v>26</v>
      </c>
      <c r="AA188">
        <v>26</v>
      </c>
      <c r="AB188">
        <v>6.7480000000000002</v>
      </c>
      <c r="AC188">
        <v>31.11</v>
      </c>
      <c r="AE188">
        <v>6</v>
      </c>
      <c r="AF188" t="s">
        <v>1034</v>
      </c>
      <c r="AG188">
        <v>60</v>
      </c>
      <c r="AH188">
        <v>0</v>
      </c>
      <c r="AJ188">
        <v>0</v>
      </c>
      <c r="AK188" t="s">
        <v>102</v>
      </c>
      <c r="AM188" t="s">
        <v>102</v>
      </c>
      <c r="AN188" t="s">
        <v>102</v>
      </c>
      <c r="AO188" t="s">
        <v>100</v>
      </c>
      <c r="AP188" t="s">
        <v>117</v>
      </c>
      <c r="AQ188" t="s">
        <v>104</v>
      </c>
      <c r="AV188" t="s">
        <v>102</v>
      </c>
      <c r="AX188" t="s">
        <v>738</v>
      </c>
      <c r="AZ188" t="s">
        <v>163</v>
      </c>
      <c r="BB188" t="s">
        <v>1035</v>
      </c>
      <c r="BF188" t="s">
        <v>1050</v>
      </c>
      <c r="BG188" t="s">
        <v>102</v>
      </c>
      <c r="BH188" t="s">
        <v>102</v>
      </c>
      <c r="BI188" t="s">
        <v>102</v>
      </c>
      <c r="BK188" t="s">
        <v>107</v>
      </c>
      <c r="BR188">
        <v>2</v>
      </c>
      <c r="BT188">
        <v>6.75</v>
      </c>
      <c r="CA188" t="s">
        <v>1051</v>
      </c>
      <c r="CB188" t="s">
        <v>738</v>
      </c>
      <c r="CL188" t="s">
        <v>102</v>
      </c>
      <c r="CM188" t="s">
        <v>102</v>
      </c>
      <c r="CN188" t="s">
        <v>1052</v>
      </c>
      <c r="CO188" s="1">
        <v>38600</v>
      </c>
      <c r="CP188" s="1">
        <v>43634</v>
      </c>
    </row>
    <row r="189" spans="1:94" x14ac:dyDescent="0.25">
      <c r="A189" t="s">
        <v>1053</v>
      </c>
      <c r="B189" t="str">
        <f xml:space="preserve"> "" &amp; 840254027374</f>
        <v>840254027374</v>
      </c>
      <c r="C189" t="s">
        <v>1054</v>
      </c>
      <c r="D189" t="s">
        <v>1055</v>
      </c>
      <c r="E189" t="s">
        <v>737</v>
      </c>
      <c r="F189" t="s">
        <v>371</v>
      </c>
      <c r="G189">
        <v>1</v>
      </c>
      <c r="H189">
        <v>1</v>
      </c>
      <c r="I189" t="s">
        <v>99</v>
      </c>
      <c r="J189" s="4">
        <v>285</v>
      </c>
      <c r="K189" s="4">
        <v>855</v>
      </c>
      <c r="O189" t="s">
        <v>100</v>
      </c>
      <c r="P189" s="4">
        <v>599.95000000000005</v>
      </c>
      <c r="S189">
        <v>25.25</v>
      </c>
      <c r="T189">
        <v>14.75</v>
      </c>
      <c r="U189">
        <v>14.75</v>
      </c>
      <c r="W189">
        <v>13.12</v>
      </c>
      <c r="X189">
        <v>1</v>
      </c>
      <c r="Y189">
        <v>12</v>
      </c>
      <c r="Z189">
        <v>24.5</v>
      </c>
      <c r="AA189">
        <v>13.5</v>
      </c>
      <c r="AB189">
        <v>2.2970000000000002</v>
      </c>
      <c r="AC189">
        <v>17.28</v>
      </c>
      <c r="AE189">
        <v>1</v>
      </c>
      <c r="AF189" t="s">
        <v>333</v>
      </c>
      <c r="AG189">
        <v>60</v>
      </c>
      <c r="AH189">
        <v>0</v>
      </c>
      <c r="AJ189">
        <v>0</v>
      </c>
      <c r="AK189" t="s">
        <v>102</v>
      </c>
      <c r="AM189" t="s">
        <v>102</v>
      </c>
      <c r="AN189" t="s">
        <v>102</v>
      </c>
      <c r="AO189" t="s">
        <v>100</v>
      </c>
      <c r="AP189" t="s">
        <v>117</v>
      </c>
      <c r="AQ189" t="s">
        <v>104</v>
      </c>
      <c r="AV189" t="s">
        <v>102</v>
      </c>
      <c r="AX189" t="s">
        <v>738</v>
      </c>
      <c r="AZ189" t="s">
        <v>163</v>
      </c>
      <c r="BB189" t="s">
        <v>1035</v>
      </c>
      <c r="BF189" t="s">
        <v>1056</v>
      </c>
      <c r="BG189" t="s">
        <v>102</v>
      </c>
      <c r="BH189" t="s">
        <v>102</v>
      </c>
      <c r="BI189" t="s">
        <v>102</v>
      </c>
      <c r="BK189" t="s">
        <v>107</v>
      </c>
      <c r="BR189">
        <v>2</v>
      </c>
      <c r="BT189">
        <v>6.75</v>
      </c>
      <c r="CA189" t="s">
        <v>1057</v>
      </c>
      <c r="CB189" t="s">
        <v>738</v>
      </c>
      <c r="CL189" t="s">
        <v>102</v>
      </c>
      <c r="CM189" t="s">
        <v>102</v>
      </c>
      <c r="CN189" t="s">
        <v>1037</v>
      </c>
      <c r="CO189" s="1">
        <v>38569</v>
      </c>
      <c r="CP189" s="1">
        <v>43634</v>
      </c>
    </row>
    <row r="190" spans="1:94" x14ac:dyDescent="0.25">
      <c r="A190" t="s">
        <v>1058</v>
      </c>
      <c r="B190" t="str">
        <f xml:space="preserve"> "" &amp; 840254047280</f>
        <v>840254047280</v>
      </c>
      <c r="C190" t="s">
        <v>178</v>
      </c>
      <c r="D190" t="s">
        <v>1059</v>
      </c>
      <c r="E190" t="s">
        <v>1060</v>
      </c>
      <c r="F190" t="s">
        <v>179</v>
      </c>
      <c r="G190">
        <v>1</v>
      </c>
      <c r="H190">
        <v>1</v>
      </c>
      <c r="I190" t="s">
        <v>99</v>
      </c>
      <c r="J190" s="4">
        <v>85</v>
      </c>
      <c r="K190" s="4">
        <v>255</v>
      </c>
      <c r="O190" t="s">
        <v>100</v>
      </c>
      <c r="P190" s="4">
        <v>179.95</v>
      </c>
      <c r="S190">
        <v>14</v>
      </c>
      <c r="U190">
        <v>7.75</v>
      </c>
      <c r="V190">
        <v>5.5</v>
      </c>
      <c r="W190">
        <v>4.74</v>
      </c>
      <c r="X190">
        <v>1</v>
      </c>
      <c r="Y190">
        <v>16.5</v>
      </c>
      <c r="Z190">
        <v>11</v>
      </c>
      <c r="AA190">
        <v>10.25</v>
      </c>
      <c r="AB190">
        <v>1.077</v>
      </c>
      <c r="AC190">
        <v>6.13</v>
      </c>
      <c r="AE190">
        <v>2</v>
      </c>
      <c r="AF190" t="s">
        <v>176</v>
      </c>
      <c r="AG190">
        <v>60</v>
      </c>
      <c r="AK190" t="s">
        <v>102</v>
      </c>
      <c r="AM190" t="s">
        <v>102</v>
      </c>
      <c r="AN190" t="s">
        <v>100</v>
      </c>
      <c r="AO190" t="s">
        <v>102</v>
      </c>
      <c r="AP190" t="s">
        <v>117</v>
      </c>
      <c r="AQ190" t="s">
        <v>104</v>
      </c>
      <c r="AV190" t="s">
        <v>102</v>
      </c>
      <c r="AX190" t="s">
        <v>1061</v>
      </c>
      <c r="AZ190" t="s">
        <v>622</v>
      </c>
      <c r="BB190" t="s">
        <v>118</v>
      </c>
      <c r="BC190" t="s">
        <v>1062</v>
      </c>
      <c r="BF190" t="s">
        <v>1063</v>
      </c>
      <c r="BG190" t="s">
        <v>102</v>
      </c>
      <c r="BH190" t="s">
        <v>102</v>
      </c>
      <c r="BI190" t="s">
        <v>102</v>
      </c>
      <c r="BK190" t="s">
        <v>191</v>
      </c>
      <c r="BL190" t="s">
        <v>547</v>
      </c>
      <c r="BM190">
        <v>7</v>
      </c>
      <c r="BN190">
        <v>14</v>
      </c>
      <c r="CA190" t="s">
        <v>1064</v>
      </c>
      <c r="CB190" t="s">
        <v>1061</v>
      </c>
      <c r="CL190" t="s">
        <v>100</v>
      </c>
      <c r="CM190" t="s">
        <v>102</v>
      </c>
      <c r="CN190" t="s">
        <v>229</v>
      </c>
      <c r="CO190" s="1">
        <v>42724</v>
      </c>
      <c r="CP190" s="1">
        <v>43634</v>
      </c>
    </row>
    <row r="191" spans="1:94" x14ac:dyDescent="0.25">
      <c r="A191" t="s">
        <v>1065</v>
      </c>
      <c r="B191" t="str">
        <f xml:space="preserve"> "" &amp; 840254047266</f>
        <v>840254047266</v>
      </c>
      <c r="C191" t="s">
        <v>911</v>
      </c>
      <c r="D191" t="s">
        <v>1066</v>
      </c>
      <c r="E191" t="s">
        <v>1060</v>
      </c>
      <c r="F191" t="s">
        <v>371</v>
      </c>
      <c r="G191">
        <v>1</v>
      </c>
      <c r="H191">
        <v>1</v>
      </c>
      <c r="I191" t="s">
        <v>99</v>
      </c>
      <c r="J191" s="4">
        <v>295</v>
      </c>
      <c r="K191" s="4">
        <v>885</v>
      </c>
      <c r="O191" t="s">
        <v>100</v>
      </c>
      <c r="P191" s="4">
        <v>619.95000000000005</v>
      </c>
      <c r="S191">
        <v>30</v>
      </c>
      <c r="T191">
        <v>15.25</v>
      </c>
      <c r="U191">
        <v>15.25</v>
      </c>
      <c r="W191">
        <v>17.329999999999998</v>
      </c>
      <c r="X191">
        <v>1</v>
      </c>
      <c r="Y191">
        <v>23</v>
      </c>
      <c r="Z191">
        <v>17</v>
      </c>
      <c r="AA191">
        <v>17</v>
      </c>
      <c r="AB191">
        <v>3.847</v>
      </c>
      <c r="AC191">
        <v>22.71</v>
      </c>
      <c r="AE191">
        <v>3</v>
      </c>
      <c r="AF191" t="s">
        <v>176</v>
      </c>
      <c r="AG191">
        <v>60</v>
      </c>
      <c r="AK191" t="s">
        <v>102</v>
      </c>
      <c r="AM191" t="s">
        <v>102</v>
      </c>
      <c r="AN191" t="s">
        <v>100</v>
      </c>
      <c r="AO191" t="s">
        <v>102</v>
      </c>
      <c r="AP191" t="s">
        <v>117</v>
      </c>
      <c r="AQ191" t="s">
        <v>104</v>
      </c>
      <c r="AV191" t="s">
        <v>102</v>
      </c>
      <c r="AX191" t="s">
        <v>1061</v>
      </c>
      <c r="AZ191" t="s">
        <v>622</v>
      </c>
      <c r="BB191" t="s">
        <v>118</v>
      </c>
      <c r="BC191" t="s">
        <v>1067</v>
      </c>
      <c r="BF191" t="s">
        <v>1068</v>
      </c>
      <c r="BG191" t="s">
        <v>102</v>
      </c>
      <c r="BH191" t="s">
        <v>102</v>
      </c>
      <c r="BI191" t="s">
        <v>102</v>
      </c>
      <c r="BK191" t="s">
        <v>107</v>
      </c>
      <c r="BQ191">
        <v>5</v>
      </c>
      <c r="BR191">
        <v>1</v>
      </c>
      <c r="BS191">
        <v>5</v>
      </c>
      <c r="BT191">
        <v>5</v>
      </c>
      <c r="CA191" t="s">
        <v>1069</v>
      </c>
      <c r="CB191" t="s">
        <v>1061</v>
      </c>
      <c r="CL191" t="s">
        <v>100</v>
      </c>
      <c r="CM191" t="s">
        <v>100</v>
      </c>
      <c r="CN191" t="s">
        <v>229</v>
      </c>
      <c r="CO191" s="1">
        <v>42724</v>
      </c>
      <c r="CP191" s="1">
        <v>43634</v>
      </c>
    </row>
    <row r="192" spans="1:94" x14ac:dyDescent="0.25">
      <c r="A192" t="s">
        <v>1070</v>
      </c>
      <c r="B192" t="str">
        <f xml:space="preserve"> "" &amp; 840254047273</f>
        <v>840254047273</v>
      </c>
      <c r="C192" t="s">
        <v>381</v>
      </c>
      <c r="D192" t="s">
        <v>1066</v>
      </c>
      <c r="E192" t="s">
        <v>1060</v>
      </c>
      <c r="F192" t="s">
        <v>371</v>
      </c>
      <c r="G192">
        <v>1</v>
      </c>
      <c r="H192">
        <v>1</v>
      </c>
      <c r="I192" t="s">
        <v>99</v>
      </c>
      <c r="J192" s="4">
        <v>165</v>
      </c>
      <c r="K192" s="4">
        <v>495</v>
      </c>
      <c r="O192" t="s">
        <v>100</v>
      </c>
      <c r="P192" s="4">
        <v>346.95</v>
      </c>
      <c r="S192">
        <v>21.75</v>
      </c>
      <c r="T192">
        <v>11.25</v>
      </c>
      <c r="U192">
        <v>11.25</v>
      </c>
      <c r="W192">
        <v>11.84</v>
      </c>
      <c r="X192">
        <v>1</v>
      </c>
      <c r="Y192">
        <v>18</v>
      </c>
      <c r="Z192">
        <v>12.88</v>
      </c>
      <c r="AA192">
        <v>12.88</v>
      </c>
      <c r="AB192">
        <v>1.728</v>
      </c>
      <c r="AC192">
        <v>14.51</v>
      </c>
      <c r="AE192">
        <v>3</v>
      </c>
      <c r="AF192" t="s">
        <v>176</v>
      </c>
      <c r="AG192">
        <v>60</v>
      </c>
      <c r="AK192" t="s">
        <v>102</v>
      </c>
      <c r="AM192" t="s">
        <v>102</v>
      </c>
      <c r="AN192" t="s">
        <v>100</v>
      </c>
      <c r="AO192" t="s">
        <v>102</v>
      </c>
      <c r="AP192" t="s">
        <v>117</v>
      </c>
      <c r="AQ192" t="s">
        <v>104</v>
      </c>
      <c r="AV192" t="s">
        <v>102</v>
      </c>
      <c r="AX192" t="s">
        <v>1061</v>
      </c>
      <c r="AZ192" t="s">
        <v>622</v>
      </c>
      <c r="BB192" t="s">
        <v>118</v>
      </c>
      <c r="BC192" t="s">
        <v>1071</v>
      </c>
      <c r="BF192" t="s">
        <v>1072</v>
      </c>
      <c r="BG192" t="s">
        <v>102</v>
      </c>
      <c r="BH192" t="s">
        <v>102</v>
      </c>
      <c r="BI192" t="s">
        <v>102</v>
      </c>
      <c r="BK192" t="s">
        <v>107</v>
      </c>
      <c r="BR192">
        <v>1</v>
      </c>
      <c r="BS192">
        <v>5</v>
      </c>
      <c r="BT192">
        <v>5</v>
      </c>
      <c r="CA192" t="s">
        <v>1073</v>
      </c>
      <c r="CB192" t="s">
        <v>1061</v>
      </c>
      <c r="CL192" t="s">
        <v>100</v>
      </c>
      <c r="CM192" t="s">
        <v>100</v>
      </c>
      <c r="CN192" t="s">
        <v>229</v>
      </c>
      <c r="CO192" s="1">
        <v>42724</v>
      </c>
      <c r="CP192" s="1">
        <v>43634</v>
      </c>
    </row>
    <row r="193" spans="1:94" x14ac:dyDescent="0.25">
      <c r="A193" t="s">
        <v>1074</v>
      </c>
      <c r="B193" t="str">
        <f xml:space="preserve"> "" &amp; 840254047259</f>
        <v>840254047259</v>
      </c>
      <c r="C193" t="s">
        <v>911</v>
      </c>
      <c r="D193" t="s">
        <v>1075</v>
      </c>
      <c r="E193" t="s">
        <v>1060</v>
      </c>
      <c r="F193" t="s">
        <v>371</v>
      </c>
      <c r="G193">
        <v>1</v>
      </c>
      <c r="H193">
        <v>1</v>
      </c>
      <c r="I193" t="s">
        <v>99</v>
      </c>
      <c r="J193" s="4">
        <v>450</v>
      </c>
      <c r="K193" s="4">
        <v>1350</v>
      </c>
      <c r="O193" t="s">
        <v>100</v>
      </c>
      <c r="P193" s="4">
        <v>944.95</v>
      </c>
      <c r="S193">
        <v>35</v>
      </c>
      <c r="T193">
        <v>19.5</v>
      </c>
      <c r="U193">
        <v>19.5</v>
      </c>
      <c r="W193">
        <v>19.62</v>
      </c>
      <c r="X193">
        <v>1</v>
      </c>
      <c r="Y193">
        <v>27.25</v>
      </c>
      <c r="Z193">
        <v>21</v>
      </c>
      <c r="AA193">
        <v>21</v>
      </c>
      <c r="AB193">
        <v>6.9539999999999997</v>
      </c>
      <c r="AC193">
        <v>28.04</v>
      </c>
      <c r="AE193">
        <v>4</v>
      </c>
      <c r="AF193" t="s">
        <v>176</v>
      </c>
      <c r="AG193">
        <v>60</v>
      </c>
      <c r="AK193" t="s">
        <v>102</v>
      </c>
      <c r="AM193" t="s">
        <v>102</v>
      </c>
      <c r="AN193" t="s">
        <v>100</v>
      </c>
      <c r="AO193" t="s">
        <v>102</v>
      </c>
      <c r="AP193" t="s">
        <v>117</v>
      </c>
      <c r="AQ193" t="s">
        <v>104</v>
      </c>
      <c r="AV193" t="s">
        <v>102</v>
      </c>
      <c r="AX193" t="s">
        <v>1061</v>
      </c>
      <c r="AZ193" t="s">
        <v>622</v>
      </c>
      <c r="BB193" t="s">
        <v>118</v>
      </c>
      <c r="BC193" t="s">
        <v>1076</v>
      </c>
      <c r="BF193" t="s">
        <v>1077</v>
      </c>
      <c r="BG193" t="s">
        <v>102</v>
      </c>
      <c r="BH193" t="s">
        <v>102</v>
      </c>
      <c r="BI193" t="s">
        <v>102</v>
      </c>
      <c r="BK193" t="s">
        <v>107</v>
      </c>
      <c r="BQ193">
        <v>5</v>
      </c>
      <c r="BR193">
        <v>1</v>
      </c>
      <c r="BS193">
        <v>5</v>
      </c>
      <c r="BT193">
        <v>5</v>
      </c>
      <c r="CA193" t="s">
        <v>1078</v>
      </c>
      <c r="CB193" t="s">
        <v>1061</v>
      </c>
      <c r="CL193" t="s">
        <v>100</v>
      </c>
      <c r="CM193" t="s">
        <v>100</v>
      </c>
      <c r="CN193" t="s">
        <v>229</v>
      </c>
      <c r="CO193" s="1">
        <v>42724</v>
      </c>
      <c r="CP193" s="1">
        <v>43634</v>
      </c>
    </row>
    <row r="194" spans="1:94" x14ac:dyDescent="0.25">
      <c r="A194" t="s">
        <v>1079</v>
      </c>
      <c r="B194" t="str">
        <f xml:space="preserve"> "" &amp; 840254048584</f>
        <v>840254048584</v>
      </c>
      <c r="C194" t="s">
        <v>999</v>
      </c>
      <c r="D194" t="s">
        <v>1080</v>
      </c>
      <c r="E194" t="s">
        <v>1060</v>
      </c>
      <c r="F194" t="s">
        <v>710</v>
      </c>
      <c r="G194">
        <v>1</v>
      </c>
      <c r="H194">
        <v>1</v>
      </c>
      <c r="I194" t="s">
        <v>99</v>
      </c>
      <c r="J194" s="4">
        <v>250</v>
      </c>
      <c r="K194" s="4">
        <v>750</v>
      </c>
      <c r="O194" t="s">
        <v>100</v>
      </c>
      <c r="P194" s="4">
        <v>524.95000000000005</v>
      </c>
      <c r="S194">
        <v>15</v>
      </c>
      <c r="T194">
        <v>19</v>
      </c>
      <c r="U194">
        <v>19</v>
      </c>
      <c r="W194">
        <v>11.99</v>
      </c>
      <c r="X194">
        <v>1</v>
      </c>
      <c r="Y194">
        <v>12.75</v>
      </c>
      <c r="Z194">
        <v>20.5</v>
      </c>
      <c r="AA194">
        <v>20.5</v>
      </c>
      <c r="AB194">
        <v>3.101</v>
      </c>
      <c r="AC194">
        <v>16.489999999999998</v>
      </c>
      <c r="AE194">
        <v>4</v>
      </c>
      <c r="AF194" t="s">
        <v>167</v>
      </c>
      <c r="AG194">
        <v>60</v>
      </c>
      <c r="AK194" t="s">
        <v>102</v>
      </c>
      <c r="AM194" t="s">
        <v>102</v>
      </c>
      <c r="AN194" t="s">
        <v>100</v>
      </c>
      <c r="AO194" t="s">
        <v>102</v>
      </c>
      <c r="AP194" t="s">
        <v>117</v>
      </c>
      <c r="AQ194" t="s">
        <v>104</v>
      </c>
      <c r="AV194" t="s">
        <v>102</v>
      </c>
      <c r="AX194" t="s">
        <v>1061</v>
      </c>
      <c r="AZ194" t="s">
        <v>622</v>
      </c>
      <c r="BB194" t="s">
        <v>118</v>
      </c>
      <c r="BC194" t="s">
        <v>231</v>
      </c>
      <c r="BF194" t="s">
        <v>1081</v>
      </c>
      <c r="BG194" t="s">
        <v>102</v>
      </c>
      <c r="BH194" t="s">
        <v>102</v>
      </c>
      <c r="BI194" t="s">
        <v>102</v>
      </c>
      <c r="BK194" t="s">
        <v>191</v>
      </c>
      <c r="BR194">
        <v>0.88</v>
      </c>
      <c r="BS194">
        <v>5</v>
      </c>
      <c r="BT194">
        <v>5</v>
      </c>
      <c r="CA194" t="s">
        <v>1082</v>
      </c>
      <c r="CB194" t="s">
        <v>1061</v>
      </c>
      <c r="CL194" t="s">
        <v>100</v>
      </c>
      <c r="CM194" t="s">
        <v>102</v>
      </c>
      <c r="CN194" t="s">
        <v>229</v>
      </c>
      <c r="CO194" s="1">
        <v>42908</v>
      </c>
      <c r="CP194" s="1">
        <v>43634</v>
      </c>
    </row>
    <row r="195" spans="1:94" x14ac:dyDescent="0.25">
      <c r="A195" t="s">
        <v>1083</v>
      </c>
      <c r="B195" t="str">
        <f xml:space="preserve"> "" &amp; 840254043466</f>
        <v>840254043466</v>
      </c>
      <c r="C195" t="s">
        <v>390</v>
      </c>
      <c r="D195" t="s">
        <v>1084</v>
      </c>
      <c r="E195" t="s">
        <v>1060</v>
      </c>
      <c r="F195" t="s">
        <v>98</v>
      </c>
      <c r="G195">
        <v>1</v>
      </c>
      <c r="H195">
        <v>1</v>
      </c>
      <c r="I195" t="s">
        <v>99</v>
      </c>
      <c r="J195" s="4">
        <v>495</v>
      </c>
      <c r="K195" s="4">
        <v>1485</v>
      </c>
      <c r="O195" t="s">
        <v>100</v>
      </c>
      <c r="P195" s="4">
        <v>1039.95</v>
      </c>
      <c r="S195">
        <v>28</v>
      </c>
      <c r="T195">
        <v>26.5</v>
      </c>
      <c r="U195">
        <v>26.5</v>
      </c>
      <c r="W195">
        <v>27.56</v>
      </c>
      <c r="X195">
        <v>1</v>
      </c>
      <c r="Y195">
        <v>19.25</v>
      </c>
      <c r="Z195">
        <v>28.25</v>
      </c>
      <c r="AA195">
        <v>28.25</v>
      </c>
      <c r="AB195">
        <v>8.89</v>
      </c>
      <c r="AC195">
        <v>38.799999999999997</v>
      </c>
      <c r="AE195">
        <v>6</v>
      </c>
      <c r="AF195" t="s">
        <v>176</v>
      </c>
      <c r="AG195">
        <v>60</v>
      </c>
      <c r="AK195" t="s">
        <v>102</v>
      </c>
      <c r="AM195" t="s">
        <v>102</v>
      </c>
      <c r="AN195" t="s">
        <v>100</v>
      </c>
      <c r="AO195" t="s">
        <v>102</v>
      </c>
      <c r="AP195" t="s">
        <v>117</v>
      </c>
      <c r="AQ195" t="s">
        <v>104</v>
      </c>
      <c r="AV195" t="s">
        <v>102</v>
      </c>
      <c r="AX195" t="s">
        <v>1061</v>
      </c>
      <c r="AZ195" t="s">
        <v>622</v>
      </c>
      <c r="BB195" t="s">
        <v>118</v>
      </c>
      <c r="BC195" t="s">
        <v>1076</v>
      </c>
      <c r="BF195" t="s">
        <v>1085</v>
      </c>
      <c r="BG195" t="s">
        <v>102</v>
      </c>
      <c r="BH195" t="s">
        <v>102</v>
      </c>
      <c r="BI195" t="s">
        <v>102</v>
      </c>
      <c r="BK195" t="s">
        <v>107</v>
      </c>
      <c r="BQ195">
        <v>5</v>
      </c>
      <c r="BR195">
        <v>1</v>
      </c>
      <c r="BS195">
        <v>5</v>
      </c>
      <c r="BT195">
        <v>5</v>
      </c>
      <c r="CA195" t="s">
        <v>1083</v>
      </c>
      <c r="CB195" t="s">
        <v>1061</v>
      </c>
      <c r="CL195" t="s">
        <v>100</v>
      </c>
      <c r="CM195" t="s">
        <v>102</v>
      </c>
      <c r="CN195" t="s">
        <v>229</v>
      </c>
      <c r="CO195" s="1">
        <v>42723</v>
      </c>
      <c r="CP195" s="1">
        <v>43634</v>
      </c>
    </row>
    <row r="196" spans="1:94" x14ac:dyDescent="0.25">
      <c r="A196" t="s">
        <v>1086</v>
      </c>
      <c r="B196" t="str">
        <f xml:space="preserve"> "" &amp; 840254047242</f>
        <v>840254047242</v>
      </c>
      <c r="C196" t="s">
        <v>1087</v>
      </c>
      <c r="D196" t="s">
        <v>1088</v>
      </c>
      <c r="E196" t="s">
        <v>1060</v>
      </c>
      <c r="F196" t="s">
        <v>828</v>
      </c>
      <c r="G196">
        <v>1</v>
      </c>
      <c r="H196">
        <v>1</v>
      </c>
      <c r="I196" t="s">
        <v>99</v>
      </c>
      <c r="J196" s="4">
        <v>550</v>
      </c>
      <c r="K196" s="4">
        <v>1650</v>
      </c>
      <c r="O196" t="s">
        <v>100</v>
      </c>
      <c r="P196" s="4">
        <v>1154.95</v>
      </c>
      <c r="S196">
        <v>26.75</v>
      </c>
      <c r="T196">
        <v>43</v>
      </c>
      <c r="U196">
        <v>18</v>
      </c>
      <c r="W196">
        <v>28.95</v>
      </c>
      <c r="X196">
        <v>1</v>
      </c>
      <c r="Y196">
        <v>17.75</v>
      </c>
      <c r="Z196">
        <v>45</v>
      </c>
      <c r="AA196">
        <v>19.5</v>
      </c>
      <c r="AB196">
        <v>9.0139999999999993</v>
      </c>
      <c r="AC196">
        <v>37.479999999999997</v>
      </c>
      <c r="AE196">
        <v>8</v>
      </c>
      <c r="AF196" t="s">
        <v>176</v>
      </c>
      <c r="AG196">
        <v>60</v>
      </c>
      <c r="AK196" t="s">
        <v>102</v>
      </c>
      <c r="AM196" t="s">
        <v>102</v>
      </c>
      <c r="AN196" t="s">
        <v>100</v>
      </c>
      <c r="AO196" t="s">
        <v>102</v>
      </c>
      <c r="AP196" t="s">
        <v>117</v>
      </c>
      <c r="AQ196" t="s">
        <v>104</v>
      </c>
      <c r="AV196" t="s">
        <v>102</v>
      </c>
      <c r="AX196" t="s">
        <v>1061</v>
      </c>
      <c r="AZ196" t="s">
        <v>622</v>
      </c>
      <c r="BB196" t="s">
        <v>118</v>
      </c>
      <c r="BC196" t="s">
        <v>1076</v>
      </c>
      <c r="BF196" t="s">
        <v>1089</v>
      </c>
      <c r="BG196" t="s">
        <v>102</v>
      </c>
      <c r="BH196" t="s">
        <v>102</v>
      </c>
      <c r="BI196" t="s">
        <v>102</v>
      </c>
      <c r="BK196" t="s">
        <v>107</v>
      </c>
      <c r="BQ196">
        <v>5</v>
      </c>
      <c r="BR196">
        <v>1</v>
      </c>
      <c r="BS196">
        <v>5</v>
      </c>
      <c r="BT196">
        <v>5</v>
      </c>
      <c r="CA196" t="s">
        <v>1086</v>
      </c>
      <c r="CB196" t="s">
        <v>1061</v>
      </c>
      <c r="CL196" t="s">
        <v>100</v>
      </c>
      <c r="CM196" t="s">
        <v>102</v>
      </c>
      <c r="CN196" t="s">
        <v>229</v>
      </c>
      <c r="CO196" s="1">
        <v>42724</v>
      </c>
      <c r="CP196" s="1">
        <v>43634</v>
      </c>
    </row>
    <row r="197" spans="1:94" x14ac:dyDescent="0.25">
      <c r="A197" t="s">
        <v>1090</v>
      </c>
      <c r="B197" t="str">
        <f xml:space="preserve"> "" &amp; 840254045996</f>
        <v>840254045996</v>
      </c>
      <c r="C197" t="s">
        <v>911</v>
      </c>
      <c r="D197" t="s">
        <v>1091</v>
      </c>
      <c r="E197" t="s">
        <v>420</v>
      </c>
      <c r="F197" t="s">
        <v>371</v>
      </c>
      <c r="G197">
        <v>1</v>
      </c>
      <c r="H197">
        <v>1</v>
      </c>
      <c r="I197" t="s">
        <v>99</v>
      </c>
      <c r="J197" s="4">
        <v>385</v>
      </c>
      <c r="K197" s="4">
        <v>1155</v>
      </c>
      <c r="O197" t="s">
        <v>100</v>
      </c>
      <c r="P197" s="4">
        <v>809.95</v>
      </c>
      <c r="S197">
        <v>24.88</v>
      </c>
      <c r="T197">
        <v>22</v>
      </c>
      <c r="U197">
        <v>22</v>
      </c>
      <c r="W197">
        <v>17.64</v>
      </c>
      <c r="X197">
        <v>1</v>
      </c>
      <c r="Y197">
        <v>18.25</v>
      </c>
      <c r="Z197">
        <v>25.5</v>
      </c>
      <c r="AA197">
        <v>25.5</v>
      </c>
      <c r="AB197">
        <v>6.8680000000000003</v>
      </c>
      <c r="AC197">
        <v>24.47</v>
      </c>
      <c r="AE197">
        <v>4</v>
      </c>
      <c r="AF197" t="s">
        <v>167</v>
      </c>
      <c r="AG197">
        <v>60</v>
      </c>
      <c r="AK197" t="s">
        <v>102</v>
      </c>
      <c r="AM197" t="s">
        <v>102</v>
      </c>
      <c r="AN197" t="s">
        <v>102</v>
      </c>
      <c r="AO197" t="s">
        <v>100</v>
      </c>
      <c r="AP197" t="s">
        <v>117</v>
      </c>
      <c r="AQ197" t="s">
        <v>104</v>
      </c>
      <c r="AV197" t="s">
        <v>102</v>
      </c>
      <c r="AX197" t="s">
        <v>421</v>
      </c>
      <c r="AZ197" t="s">
        <v>200</v>
      </c>
      <c r="BB197" t="s">
        <v>118</v>
      </c>
      <c r="BC197" t="s">
        <v>1092</v>
      </c>
      <c r="BF197" t="s">
        <v>1093</v>
      </c>
      <c r="BG197" t="s">
        <v>102</v>
      </c>
      <c r="BH197" t="s">
        <v>102</v>
      </c>
      <c r="BI197" t="s">
        <v>102</v>
      </c>
      <c r="BK197" t="s">
        <v>107</v>
      </c>
      <c r="BQ197">
        <v>5.13</v>
      </c>
      <c r="BR197">
        <v>1</v>
      </c>
      <c r="BS197">
        <v>5.13</v>
      </c>
      <c r="BT197">
        <v>5.13</v>
      </c>
      <c r="CA197" t="s">
        <v>1094</v>
      </c>
      <c r="CB197" t="s">
        <v>421</v>
      </c>
      <c r="CL197" t="s">
        <v>100</v>
      </c>
      <c r="CM197" t="s">
        <v>100</v>
      </c>
      <c r="CN197" t="s">
        <v>272</v>
      </c>
      <c r="CO197" s="1">
        <v>42378</v>
      </c>
      <c r="CP197" s="1">
        <v>43634</v>
      </c>
    </row>
    <row r="198" spans="1:94" x14ac:dyDescent="0.25">
      <c r="A198" t="s">
        <v>1095</v>
      </c>
      <c r="B198" t="str">
        <f xml:space="preserve"> "" &amp; 840254043244</f>
        <v>840254043244</v>
      </c>
      <c r="C198" t="s">
        <v>1096</v>
      </c>
      <c r="D198" t="s">
        <v>1097</v>
      </c>
      <c r="E198" t="s">
        <v>420</v>
      </c>
      <c r="F198" t="s">
        <v>371</v>
      </c>
      <c r="G198">
        <v>1</v>
      </c>
      <c r="H198">
        <v>1</v>
      </c>
      <c r="I198" t="s">
        <v>99</v>
      </c>
      <c r="J198" s="4">
        <v>325</v>
      </c>
      <c r="K198" s="4">
        <v>975</v>
      </c>
      <c r="O198" t="s">
        <v>100</v>
      </c>
      <c r="P198" s="4">
        <v>684.95</v>
      </c>
      <c r="S198">
        <v>24</v>
      </c>
      <c r="T198">
        <v>11.75</v>
      </c>
      <c r="U198">
        <v>11.75</v>
      </c>
      <c r="W198">
        <v>11.02</v>
      </c>
      <c r="X198">
        <v>1</v>
      </c>
      <c r="Y198">
        <v>12</v>
      </c>
      <c r="Z198">
        <v>22</v>
      </c>
      <c r="AA198">
        <v>15.25</v>
      </c>
      <c r="AB198">
        <v>2.33</v>
      </c>
      <c r="AC198">
        <v>14</v>
      </c>
      <c r="AE198">
        <v>4</v>
      </c>
      <c r="AF198" t="s">
        <v>1098</v>
      </c>
      <c r="AG198">
        <v>60</v>
      </c>
      <c r="AK198" t="s">
        <v>102</v>
      </c>
      <c r="AM198" t="s">
        <v>102</v>
      </c>
      <c r="AN198" t="s">
        <v>102</v>
      </c>
      <c r="AO198" t="s">
        <v>100</v>
      </c>
      <c r="AP198" t="s">
        <v>117</v>
      </c>
      <c r="AQ198" t="s">
        <v>104</v>
      </c>
      <c r="AV198" t="s">
        <v>102</v>
      </c>
      <c r="AX198" t="s">
        <v>421</v>
      </c>
      <c r="AZ198" t="s">
        <v>105</v>
      </c>
      <c r="BF198" t="s">
        <v>1099</v>
      </c>
      <c r="BG198" t="s">
        <v>102</v>
      </c>
      <c r="BH198" t="s">
        <v>102</v>
      </c>
      <c r="BI198" t="s">
        <v>102</v>
      </c>
      <c r="BK198" t="s">
        <v>107</v>
      </c>
      <c r="BR198">
        <v>1</v>
      </c>
      <c r="BT198">
        <v>5</v>
      </c>
      <c r="CA198" t="s">
        <v>1100</v>
      </c>
      <c r="CB198" t="s">
        <v>421</v>
      </c>
      <c r="CL198" t="s">
        <v>102</v>
      </c>
      <c r="CM198" t="s">
        <v>100</v>
      </c>
      <c r="CN198" t="s">
        <v>424</v>
      </c>
      <c r="CO198" s="1">
        <v>41755</v>
      </c>
      <c r="CP198" s="1">
        <v>43634</v>
      </c>
    </row>
    <row r="199" spans="1:94" x14ac:dyDescent="0.25">
      <c r="A199" t="s">
        <v>1101</v>
      </c>
      <c r="B199" t="str">
        <f xml:space="preserve"> "" &amp; 840254046009</f>
        <v>840254046009</v>
      </c>
      <c r="C199" t="s">
        <v>691</v>
      </c>
      <c r="D199" t="s">
        <v>1102</v>
      </c>
      <c r="E199" t="s">
        <v>420</v>
      </c>
      <c r="F199" t="s">
        <v>371</v>
      </c>
      <c r="G199">
        <v>1</v>
      </c>
      <c r="H199">
        <v>1</v>
      </c>
      <c r="I199" t="s">
        <v>99</v>
      </c>
      <c r="J199" s="4">
        <v>595</v>
      </c>
      <c r="K199" s="4">
        <v>1785</v>
      </c>
      <c r="O199" t="s">
        <v>100</v>
      </c>
      <c r="P199" s="4">
        <v>1249.95</v>
      </c>
      <c r="S199">
        <v>28.5</v>
      </c>
      <c r="T199">
        <v>32</v>
      </c>
      <c r="U199">
        <v>32</v>
      </c>
      <c r="W199">
        <v>25.13</v>
      </c>
      <c r="X199">
        <v>1</v>
      </c>
      <c r="Y199">
        <v>21</v>
      </c>
      <c r="Z199">
        <v>35.5</v>
      </c>
      <c r="AA199">
        <v>35.5</v>
      </c>
      <c r="AB199">
        <v>15.316000000000001</v>
      </c>
      <c r="AC199">
        <v>38.32</v>
      </c>
      <c r="AE199">
        <v>8</v>
      </c>
      <c r="AF199" t="s">
        <v>167</v>
      </c>
      <c r="AG199">
        <v>60</v>
      </c>
      <c r="AK199" t="s">
        <v>102</v>
      </c>
      <c r="AM199" t="s">
        <v>102</v>
      </c>
      <c r="AN199" t="s">
        <v>102</v>
      </c>
      <c r="AO199" t="s">
        <v>100</v>
      </c>
      <c r="AP199" t="s">
        <v>103</v>
      </c>
      <c r="AQ199" t="s">
        <v>104</v>
      </c>
      <c r="AV199" t="s">
        <v>102</v>
      </c>
      <c r="AX199" t="s">
        <v>421</v>
      </c>
      <c r="AZ199" t="s">
        <v>200</v>
      </c>
      <c r="BB199" t="s">
        <v>118</v>
      </c>
      <c r="BC199" t="s">
        <v>1103</v>
      </c>
      <c r="BF199" t="s">
        <v>1104</v>
      </c>
      <c r="BG199" t="s">
        <v>102</v>
      </c>
      <c r="BH199" t="s">
        <v>102</v>
      </c>
      <c r="BI199" t="s">
        <v>102</v>
      </c>
      <c r="BK199" t="s">
        <v>107</v>
      </c>
      <c r="BQ199">
        <v>6</v>
      </c>
      <c r="BR199">
        <v>1</v>
      </c>
      <c r="BS199">
        <v>6</v>
      </c>
      <c r="BT199">
        <v>6</v>
      </c>
      <c r="CA199" t="s">
        <v>1105</v>
      </c>
      <c r="CB199" t="s">
        <v>421</v>
      </c>
      <c r="CL199" t="s">
        <v>100</v>
      </c>
      <c r="CM199" t="s">
        <v>102</v>
      </c>
      <c r="CN199" t="s">
        <v>272</v>
      </c>
      <c r="CO199" s="1">
        <v>42378</v>
      </c>
      <c r="CP199" s="1">
        <v>43634</v>
      </c>
    </row>
    <row r="200" spans="1:94" x14ac:dyDescent="0.25">
      <c r="A200" t="s">
        <v>1106</v>
      </c>
      <c r="B200" t="str">
        <f xml:space="preserve"> "" &amp; 840254043251</f>
        <v>840254043251</v>
      </c>
      <c r="C200" t="s">
        <v>390</v>
      </c>
      <c r="D200" t="s">
        <v>1107</v>
      </c>
      <c r="E200" t="s">
        <v>420</v>
      </c>
      <c r="F200" t="s">
        <v>371</v>
      </c>
      <c r="G200">
        <v>1</v>
      </c>
      <c r="H200">
        <v>1</v>
      </c>
      <c r="I200" t="s">
        <v>99</v>
      </c>
      <c r="J200" s="4">
        <v>350</v>
      </c>
      <c r="K200" s="4">
        <v>1050</v>
      </c>
      <c r="O200" t="s">
        <v>100</v>
      </c>
      <c r="P200" s="4">
        <v>734.95</v>
      </c>
      <c r="S200">
        <v>26.25</v>
      </c>
      <c r="T200">
        <v>16</v>
      </c>
      <c r="U200">
        <v>16</v>
      </c>
      <c r="W200">
        <v>15.21</v>
      </c>
      <c r="X200">
        <v>1</v>
      </c>
      <c r="Y200">
        <v>13</v>
      </c>
      <c r="Z200">
        <v>32.25</v>
      </c>
      <c r="AA200">
        <v>19.25</v>
      </c>
      <c r="AB200">
        <v>4.67</v>
      </c>
      <c r="AC200">
        <v>20.440000000000001</v>
      </c>
      <c r="AE200">
        <v>6</v>
      </c>
      <c r="AF200" t="s">
        <v>365</v>
      </c>
      <c r="AG200">
        <v>60</v>
      </c>
      <c r="AK200" t="s">
        <v>102</v>
      </c>
      <c r="AM200" t="s">
        <v>102</v>
      </c>
      <c r="AN200" t="s">
        <v>102</v>
      </c>
      <c r="AO200" t="s">
        <v>100</v>
      </c>
      <c r="AP200" t="s">
        <v>117</v>
      </c>
      <c r="AQ200" t="s">
        <v>104</v>
      </c>
      <c r="AV200" t="s">
        <v>102</v>
      </c>
      <c r="AX200" t="s">
        <v>421</v>
      </c>
      <c r="AZ200" t="s">
        <v>105</v>
      </c>
      <c r="BF200" t="s">
        <v>1108</v>
      </c>
      <c r="BG200" t="s">
        <v>102</v>
      </c>
      <c r="BH200" t="s">
        <v>102</v>
      </c>
      <c r="BI200" t="s">
        <v>102</v>
      </c>
      <c r="BK200" t="s">
        <v>107</v>
      </c>
      <c r="BR200">
        <v>1</v>
      </c>
      <c r="BT200">
        <v>5</v>
      </c>
      <c r="CA200" t="s">
        <v>1109</v>
      </c>
      <c r="CB200" t="s">
        <v>421</v>
      </c>
      <c r="CL200" t="s">
        <v>102</v>
      </c>
      <c r="CM200" t="s">
        <v>100</v>
      </c>
      <c r="CN200" t="s">
        <v>424</v>
      </c>
      <c r="CO200" s="1">
        <v>41755</v>
      </c>
      <c r="CP200" s="1">
        <v>43634</v>
      </c>
    </row>
    <row r="201" spans="1:94" x14ac:dyDescent="0.25">
      <c r="A201" t="s">
        <v>1110</v>
      </c>
      <c r="B201" t="str">
        <f xml:space="preserve"> "" &amp; 840254043268</f>
        <v>840254043268</v>
      </c>
      <c r="C201" t="s">
        <v>390</v>
      </c>
      <c r="D201" t="s">
        <v>1107</v>
      </c>
      <c r="E201" t="s">
        <v>420</v>
      </c>
      <c r="F201" t="s">
        <v>371</v>
      </c>
      <c r="G201">
        <v>1</v>
      </c>
      <c r="H201">
        <v>1</v>
      </c>
      <c r="I201" t="s">
        <v>99</v>
      </c>
      <c r="J201" s="4">
        <v>565</v>
      </c>
      <c r="K201" s="4">
        <v>1695</v>
      </c>
      <c r="O201" t="s">
        <v>100</v>
      </c>
      <c r="P201" s="4">
        <v>1189.95</v>
      </c>
      <c r="S201">
        <v>26</v>
      </c>
      <c r="T201">
        <v>27</v>
      </c>
      <c r="U201">
        <v>27</v>
      </c>
      <c r="W201">
        <v>21.38</v>
      </c>
      <c r="X201">
        <v>1</v>
      </c>
      <c r="Y201">
        <v>18.5</v>
      </c>
      <c r="Z201">
        <v>30.75</v>
      </c>
      <c r="AA201">
        <v>30.75</v>
      </c>
      <c r="AB201">
        <v>10.122999999999999</v>
      </c>
      <c r="AC201">
        <v>30.2</v>
      </c>
      <c r="AE201">
        <v>6</v>
      </c>
      <c r="AF201" t="s">
        <v>1098</v>
      </c>
      <c r="AG201">
        <v>60</v>
      </c>
      <c r="AK201" t="s">
        <v>102</v>
      </c>
      <c r="AM201" t="s">
        <v>102</v>
      </c>
      <c r="AN201" t="s">
        <v>102</v>
      </c>
      <c r="AO201" t="s">
        <v>100</v>
      </c>
      <c r="AP201" t="s">
        <v>103</v>
      </c>
      <c r="AQ201" t="s">
        <v>104</v>
      </c>
      <c r="AV201" t="s">
        <v>102</v>
      </c>
      <c r="AX201" t="s">
        <v>421</v>
      </c>
      <c r="AZ201" t="s">
        <v>105</v>
      </c>
      <c r="BF201" t="s">
        <v>1111</v>
      </c>
      <c r="BG201" t="s">
        <v>102</v>
      </c>
      <c r="BH201" t="s">
        <v>102</v>
      </c>
      <c r="BI201" t="s">
        <v>102</v>
      </c>
      <c r="BK201" t="s">
        <v>107</v>
      </c>
      <c r="BR201">
        <v>1</v>
      </c>
      <c r="BT201">
        <v>5</v>
      </c>
      <c r="CA201" t="s">
        <v>1112</v>
      </c>
      <c r="CB201" t="s">
        <v>421</v>
      </c>
      <c r="CL201" t="s">
        <v>102</v>
      </c>
      <c r="CM201" t="s">
        <v>100</v>
      </c>
      <c r="CN201" t="s">
        <v>424</v>
      </c>
      <c r="CO201" s="1">
        <v>41755</v>
      </c>
      <c r="CP201" s="1">
        <v>43634</v>
      </c>
    </row>
    <row r="202" spans="1:94" x14ac:dyDescent="0.25">
      <c r="A202" t="s">
        <v>1113</v>
      </c>
      <c r="B202" t="str">
        <f xml:space="preserve"> "" &amp; 840254043275</f>
        <v>840254043275</v>
      </c>
      <c r="C202" t="s">
        <v>691</v>
      </c>
      <c r="D202" t="s">
        <v>1102</v>
      </c>
      <c r="E202" t="s">
        <v>420</v>
      </c>
      <c r="F202" t="s">
        <v>371</v>
      </c>
      <c r="G202">
        <v>1</v>
      </c>
      <c r="H202">
        <v>1</v>
      </c>
      <c r="I202" t="s">
        <v>99</v>
      </c>
      <c r="J202" s="4">
        <v>565</v>
      </c>
      <c r="K202" s="4">
        <v>1695</v>
      </c>
      <c r="O202" t="s">
        <v>100</v>
      </c>
      <c r="P202" s="4">
        <v>1189.95</v>
      </c>
      <c r="S202">
        <v>34.25</v>
      </c>
      <c r="T202">
        <v>20</v>
      </c>
      <c r="U202">
        <v>20</v>
      </c>
      <c r="W202">
        <v>20.079999999999998</v>
      </c>
      <c r="X202">
        <v>1</v>
      </c>
      <c r="Y202">
        <v>16</v>
      </c>
      <c r="Z202">
        <v>35</v>
      </c>
      <c r="AA202">
        <v>23.5</v>
      </c>
      <c r="AB202">
        <v>7.6159999999999997</v>
      </c>
      <c r="AC202">
        <v>27.34</v>
      </c>
      <c r="AE202">
        <v>8</v>
      </c>
      <c r="AF202" t="s">
        <v>1114</v>
      </c>
      <c r="AG202">
        <v>60</v>
      </c>
      <c r="AK202" t="s">
        <v>102</v>
      </c>
      <c r="AM202" t="s">
        <v>102</v>
      </c>
      <c r="AN202" t="s">
        <v>102</v>
      </c>
      <c r="AO202" t="s">
        <v>100</v>
      </c>
      <c r="AP202" t="s">
        <v>103</v>
      </c>
      <c r="AQ202" t="s">
        <v>104</v>
      </c>
      <c r="AV202" t="s">
        <v>102</v>
      </c>
      <c r="AX202" t="s">
        <v>421</v>
      </c>
      <c r="AZ202" t="s">
        <v>105</v>
      </c>
      <c r="BF202" t="s">
        <v>1115</v>
      </c>
      <c r="BG202" t="s">
        <v>102</v>
      </c>
      <c r="BH202" t="s">
        <v>102</v>
      </c>
      <c r="BI202" t="s">
        <v>102</v>
      </c>
      <c r="BK202" t="s">
        <v>107</v>
      </c>
      <c r="BR202">
        <v>1</v>
      </c>
      <c r="BT202">
        <v>5</v>
      </c>
      <c r="CA202" t="s">
        <v>1116</v>
      </c>
      <c r="CB202" t="s">
        <v>421</v>
      </c>
      <c r="CL202" t="s">
        <v>102</v>
      </c>
      <c r="CM202" t="s">
        <v>100</v>
      </c>
      <c r="CN202" t="s">
        <v>424</v>
      </c>
      <c r="CO202" s="1">
        <v>41755</v>
      </c>
      <c r="CP202" s="1">
        <v>43634</v>
      </c>
    </row>
    <row r="203" spans="1:94" x14ac:dyDescent="0.25">
      <c r="A203" t="s">
        <v>1117</v>
      </c>
      <c r="B203" t="str">
        <f xml:space="preserve"> "" &amp; 840254043282</f>
        <v>840254043282</v>
      </c>
      <c r="C203" t="s">
        <v>1087</v>
      </c>
      <c r="D203" t="s">
        <v>1118</v>
      </c>
      <c r="E203" t="s">
        <v>420</v>
      </c>
      <c r="F203" t="s">
        <v>828</v>
      </c>
      <c r="G203">
        <v>1</v>
      </c>
      <c r="H203">
        <v>1</v>
      </c>
      <c r="I203" t="s">
        <v>99</v>
      </c>
      <c r="J203" s="4">
        <v>695</v>
      </c>
      <c r="K203" s="4">
        <v>2085</v>
      </c>
      <c r="O203" t="s">
        <v>100</v>
      </c>
      <c r="P203" s="4">
        <v>1459.95</v>
      </c>
      <c r="S203">
        <v>22.25</v>
      </c>
      <c r="U203">
        <v>38</v>
      </c>
      <c r="V203">
        <v>20.25</v>
      </c>
      <c r="W203">
        <v>29.76</v>
      </c>
      <c r="X203">
        <v>1</v>
      </c>
      <c r="Y203">
        <v>13.25</v>
      </c>
      <c r="Z203">
        <v>41.25</v>
      </c>
      <c r="AA203">
        <v>23.25</v>
      </c>
      <c r="AB203">
        <v>7.3540000000000001</v>
      </c>
      <c r="AC203">
        <v>37.130000000000003</v>
      </c>
      <c r="AE203">
        <v>8</v>
      </c>
      <c r="AF203" t="s">
        <v>1098</v>
      </c>
      <c r="AG203">
        <v>60</v>
      </c>
      <c r="AK203" t="s">
        <v>102</v>
      </c>
      <c r="AM203" t="s">
        <v>102</v>
      </c>
      <c r="AN203" t="s">
        <v>102</v>
      </c>
      <c r="AO203" t="s">
        <v>100</v>
      </c>
      <c r="AP203" t="s">
        <v>103</v>
      </c>
      <c r="AQ203" t="s">
        <v>104</v>
      </c>
      <c r="AV203" t="s">
        <v>102</v>
      </c>
      <c r="AX203" t="s">
        <v>421</v>
      </c>
      <c r="AZ203" t="s">
        <v>105</v>
      </c>
      <c r="BF203" t="s">
        <v>1119</v>
      </c>
      <c r="BG203" t="s">
        <v>102</v>
      </c>
      <c r="BH203" t="s">
        <v>102</v>
      </c>
      <c r="BI203" t="s">
        <v>102</v>
      </c>
      <c r="BK203" t="s">
        <v>107</v>
      </c>
      <c r="BR203">
        <v>4.25</v>
      </c>
      <c r="BT203">
        <v>19.5</v>
      </c>
      <c r="CA203" t="s">
        <v>1120</v>
      </c>
      <c r="CB203" t="s">
        <v>421</v>
      </c>
      <c r="CL203" t="s">
        <v>100</v>
      </c>
      <c r="CM203" t="s">
        <v>102</v>
      </c>
      <c r="CN203" t="s">
        <v>424</v>
      </c>
      <c r="CO203" s="1">
        <v>41755</v>
      </c>
      <c r="CP203" s="1">
        <v>43634</v>
      </c>
    </row>
    <row r="204" spans="1:94" x14ac:dyDescent="0.25">
      <c r="A204" t="s">
        <v>1121</v>
      </c>
      <c r="B204" t="str">
        <f xml:space="preserve"> "" &amp; 840254038127</f>
        <v>840254038127</v>
      </c>
      <c r="C204" t="s">
        <v>740</v>
      </c>
      <c r="D204" t="s">
        <v>1122</v>
      </c>
      <c r="E204" t="s">
        <v>460</v>
      </c>
      <c r="F204" t="s">
        <v>98</v>
      </c>
      <c r="G204">
        <v>1</v>
      </c>
      <c r="H204">
        <v>1</v>
      </c>
      <c r="I204" t="s">
        <v>99</v>
      </c>
      <c r="J204" s="4">
        <v>575</v>
      </c>
      <c r="K204" s="4">
        <v>1725</v>
      </c>
      <c r="O204" t="s">
        <v>100</v>
      </c>
      <c r="P204" s="4">
        <v>1209.95</v>
      </c>
      <c r="S204">
        <v>35</v>
      </c>
      <c r="U204">
        <v>31</v>
      </c>
      <c r="W204">
        <v>25.9</v>
      </c>
      <c r="X204">
        <v>1</v>
      </c>
      <c r="Y204">
        <v>39.5</v>
      </c>
      <c r="Z204">
        <v>30.38</v>
      </c>
      <c r="AA204">
        <v>14.75</v>
      </c>
      <c r="AB204">
        <v>10.243</v>
      </c>
      <c r="AC204">
        <v>36.22</v>
      </c>
      <c r="AE204">
        <v>6</v>
      </c>
      <c r="AF204" t="s">
        <v>167</v>
      </c>
      <c r="AG204">
        <v>60</v>
      </c>
      <c r="AK204" t="s">
        <v>102</v>
      </c>
      <c r="AL204">
        <v>6</v>
      </c>
      <c r="AM204" t="s">
        <v>102</v>
      </c>
      <c r="AN204" t="s">
        <v>100</v>
      </c>
      <c r="AO204" t="s">
        <v>102</v>
      </c>
      <c r="AP204" t="s">
        <v>103</v>
      </c>
      <c r="AQ204" t="s">
        <v>104</v>
      </c>
      <c r="AV204" t="s">
        <v>102</v>
      </c>
      <c r="AX204" t="s">
        <v>168</v>
      </c>
      <c r="AZ204" t="s">
        <v>163</v>
      </c>
      <c r="BB204" t="s">
        <v>442</v>
      </c>
      <c r="BC204" t="s">
        <v>443</v>
      </c>
      <c r="BF204" t="s">
        <v>1123</v>
      </c>
      <c r="BG204" t="s">
        <v>102</v>
      </c>
      <c r="BH204" t="s">
        <v>102</v>
      </c>
      <c r="BI204" t="s">
        <v>102</v>
      </c>
      <c r="BK204" t="s">
        <v>107</v>
      </c>
      <c r="CA204" t="s">
        <v>1124</v>
      </c>
      <c r="CB204" t="s">
        <v>168</v>
      </c>
      <c r="CL204" t="s">
        <v>102</v>
      </c>
      <c r="CM204" t="s">
        <v>102</v>
      </c>
      <c r="CN204" t="s">
        <v>193</v>
      </c>
      <c r="CO204" s="1">
        <v>40476</v>
      </c>
      <c r="CP204" s="1">
        <v>43634</v>
      </c>
    </row>
    <row r="205" spans="1:94" x14ac:dyDescent="0.25">
      <c r="A205" t="s">
        <v>1125</v>
      </c>
      <c r="B205" t="str">
        <f xml:space="preserve"> "" &amp; 840254038134</f>
        <v>840254038134</v>
      </c>
      <c r="C205" t="s">
        <v>95</v>
      </c>
      <c r="D205" t="s">
        <v>1126</v>
      </c>
      <c r="E205" t="s">
        <v>460</v>
      </c>
      <c r="F205" t="s">
        <v>98</v>
      </c>
      <c r="G205">
        <v>1</v>
      </c>
      <c r="H205">
        <v>1</v>
      </c>
      <c r="I205" t="s">
        <v>99</v>
      </c>
      <c r="J205" s="4">
        <v>900</v>
      </c>
      <c r="K205" s="4">
        <v>2700</v>
      </c>
      <c r="O205" t="s">
        <v>100</v>
      </c>
      <c r="P205" s="4">
        <v>1889.95</v>
      </c>
      <c r="S205">
        <v>42</v>
      </c>
      <c r="U205">
        <v>39.380000000000003</v>
      </c>
      <c r="W205">
        <v>40.79</v>
      </c>
      <c r="X205">
        <v>1</v>
      </c>
      <c r="Y205">
        <v>46.25</v>
      </c>
      <c r="Z205">
        <v>40</v>
      </c>
      <c r="AA205">
        <v>20.5</v>
      </c>
      <c r="AB205">
        <v>21.946999999999999</v>
      </c>
      <c r="AC205">
        <v>59.97</v>
      </c>
      <c r="AE205">
        <v>12</v>
      </c>
      <c r="AF205" t="s">
        <v>478</v>
      </c>
      <c r="AG205">
        <v>60</v>
      </c>
      <c r="AK205" t="s">
        <v>102</v>
      </c>
      <c r="AM205" t="s">
        <v>102</v>
      </c>
      <c r="AN205" t="s">
        <v>100</v>
      </c>
      <c r="AO205" t="s">
        <v>102</v>
      </c>
      <c r="AP205" t="s">
        <v>103</v>
      </c>
      <c r="AQ205" t="s">
        <v>104</v>
      </c>
      <c r="AV205" t="s">
        <v>102</v>
      </c>
      <c r="AX205" t="s">
        <v>168</v>
      </c>
      <c r="AZ205" t="s">
        <v>163</v>
      </c>
      <c r="BF205" t="s">
        <v>1127</v>
      </c>
      <c r="BG205" t="s">
        <v>102</v>
      </c>
      <c r="BH205" t="s">
        <v>102</v>
      </c>
      <c r="BI205" t="s">
        <v>102</v>
      </c>
      <c r="BK205" t="s">
        <v>107</v>
      </c>
      <c r="CA205" t="s">
        <v>1128</v>
      </c>
      <c r="CB205" t="s">
        <v>168</v>
      </c>
      <c r="CL205" t="s">
        <v>102</v>
      </c>
      <c r="CM205" t="s">
        <v>102</v>
      </c>
      <c r="CN205" t="s">
        <v>1129</v>
      </c>
      <c r="CO205" s="1">
        <v>40476</v>
      </c>
      <c r="CP205" s="1">
        <v>43634</v>
      </c>
    </row>
    <row r="206" spans="1:94" x14ac:dyDescent="0.25">
      <c r="A206" t="s">
        <v>1131</v>
      </c>
      <c r="B206" t="str">
        <f xml:space="preserve"> "" &amp; 840254042889</f>
        <v>840254042889</v>
      </c>
      <c r="C206" t="s">
        <v>864</v>
      </c>
      <c r="D206" t="s">
        <v>1132</v>
      </c>
      <c r="E206" t="s">
        <v>477</v>
      </c>
      <c r="F206" t="s">
        <v>828</v>
      </c>
      <c r="G206">
        <v>1</v>
      </c>
      <c r="H206">
        <v>1</v>
      </c>
      <c r="I206" t="s">
        <v>99</v>
      </c>
      <c r="J206" s="4">
        <v>795</v>
      </c>
      <c r="K206" s="4">
        <v>2385</v>
      </c>
      <c r="O206" t="s">
        <v>100</v>
      </c>
      <c r="P206" s="4">
        <v>1669.95</v>
      </c>
      <c r="S206">
        <v>25.5</v>
      </c>
      <c r="U206">
        <v>42</v>
      </c>
      <c r="V206">
        <v>23</v>
      </c>
      <c r="W206">
        <v>38.25</v>
      </c>
      <c r="X206">
        <v>1</v>
      </c>
      <c r="Y206">
        <v>18</v>
      </c>
      <c r="Z206">
        <v>43.13</v>
      </c>
      <c r="AA206">
        <v>24.13</v>
      </c>
      <c r="AB206">
        <v>10.840999999999999</v>
      </c>
      <c r="AC206">
        <v>49.03</v>
      </c>
      <c r="AE206">
        <v>6</v>
      </c>
      <c r="AF206" t="s">
        <v>365</v>
      </c>
      <c r="AG206">
        <v>60</v>
      </c>
      <c r="AK206" t="s">
        <v>102</v>
      </c>
      <c r="AM206" t="s">
        <v>102</v>
      </c>
      <c r="AN206" t="s">
        <v>100</v>
      </c>
      <c r="AO206" t="s">
        <v>102</v>
      </c>
      <c r="AP206" t="s">
        <v>103</v>
      </c>
      <c r="AQ206" t="s">
        <v>104</v>
      </c>
      <c r="AV206" t="s">
        <v>102</v>
      </c>
      <c r="AX206" t="s">
        <v>479</v>
      </c>
      <c r="AZ206" t="s">
        <v>163</v>
      </c>
      <c r="BB206" t="s">
        <v>480</v>
      </c>
      <c r="BC206" t="s">
        <v>1133</v>
      </c>
      <c r="BF206" t="s">
        <v>1134</v>
      </c>
      <c r="BG206" t="s">
        <v>102</v>
      </c>
      <c r="BH206" t="s">
        <v>102</v>
      </c>
      <c r="BI206" t="s">
        <v>102</v>
      </c>
      <c r="BK206" t="s">
        <v>107</v>
      </c>
      <c r="BQ206">
        <v>14</v>
      </c>
      <c r="BR206">
        <v>1.25</v>
      </c>
      <c r="BS206">
        <v>14</v>
      </c>
      <c r="BT206">
        <v>14</v>
      </c>
      <c r="CA206" t="s">
        <v>1135</v>
      </c>
      <c r="CB206" t="s">
        <v>479</v>
      </c>
      <c r="CL206" t="s">
        <v>102</v>
      </c>
      <c r="CM206" t="s">
        <v>102</v>
      </c>
      <c r="CN206" t="s">
        <v>1136</v>
      </c>
      <c r="CO206" s="1">
        <v>41589</v>
      </c>
      <c r="CP206" s="1">
        <v>43634</v>
      </c>
    </row>
    <row r="207" spans="1:94" x14ac:dyDescent="0.25">
      <c r="A207" t="s">
        <v>1137</v>
      </c>
      <c r="B207" t="str">
        <f xml:space="preserve"> "" &amp; 840254041745</f>
        <v>840254041745</v>
      </c>
      <c r="C207" t="s">
        <v>708</v>
      </c>
      <c r="D207" t="s">
        <v>1138</v>
      </c>
      <c r="E207" t="s">
        <v>477</v>
      </c>
      <c r="F207" t="s">
        <v>710</v>
      </c>
      <c r="G207">
        <v>1</v>
      </c>
      <c r="H207">
        <v>1</v>
      </c>
      <c r="I207" t="s">
        <v>99</v>
      </c>
      <c r="J207" s="4">
        <v>150</v>
      </c>
      <c r="K207" s="4">
        <v>450</v>
      </c>
      <c r="O207" t="s">
        <v>100</v>
      </c>
      <c r="P207" s="4">
        <v>314.95</v>
      </c>
      <c r="S207">
        <v>15.5</v>
      </c>
      <c r="U207">
        <v>18</v>
      </c>
      <c r="W207">
        <v>9.59</v>
      </c>
      <c r="X207">
        <v>1</v>
      </c>
      <c r="Y207">
        <v>16.5</v>
      </c>
      <c r="Z207">
        <v>18.38</v>
      </c>
      <c r="AA207">
        <v>18.13</v>
      </c>
      <c r="AB207">
        <v>3.1819999999999999</v>
      </c>
      <c r="AC207">
        <v>14.82</v>
      </c>
      <c r="AE207">
        <v>3</v>
      </c>
      <c r="AF207" t="s">
        <v>1139</v>
      </c>
      <c r="AG207">
        <v>60</v>
      </c>
      <c r="AK207" t="s">
        <v>102</v>
      </c>
      <c r="AM207" t="s">
        <v>102</v>
      </c>
      <c r="AN207" t="s">
        <v>100</v>
      </c>
      <c r="AO207" t="s">
        <v>102</v>
      </c>
      <c r="AP207" t="s">
        <v>117</v>
      </c>
      <c r="AQ207" t="s">
        <v>104</v>
      </c>
      <c r="AV207" t="s">
        <v>102</v>
      </c>
      <c r="AX207" t="s">
        <v>479</v>
      </c>
      <c r="AZ207" t="s">
        <v>163</v>
      </c>
      <c r="BB207" t="s">
        <v>54</v>
      </c>
      <c r="BC207" t="s">
        <v>1140</v>
      </c>
      <c r="BF207" t="s">
        <v>1141</v>
      </c>
      <c r="BG207" t="s">
        <v>102</v>
      </c>
      <c r="BH207" t="s">
        <v>102</v>
      </c>
      <c r="BI207" t="s">
        <v>102</v>
      </c>
      <c r="BK207" t="s">
        <v>484</v>
      </c>
      <c r="BR207">
        <v>1.88</v>
      </c>
      <c r="BT207">
        <v>6.5</v>
      </c>
      <c r="CA207" t="s">
        <v>1142</v>
      </c>
      <c r="CB207" t="s">
        <v>479</v>
      </c>
      <c r="CL207" t="s">
        <v>100</v>
      </c>
      <c r="CM207" t="s">
        <v>102</v>
      </c>
      <c r="CN207" t="s">
        <v>1143</v>
      </c>
      <c r="CO207" s="1">
        <v>41244</v>
      </c>
      <c r="CP207" s="1">
        <v>43634</v>
      </c>
    </row>
    <row r="208" spans="1:94" x14ac:dyDescent="0.25">
      <c r="A208" t="s">
        <v>1144</v>
      </c>
      <c r="B208" t="str">
        <f xml:space="preserve"> "" &amp; 840254041714</f>
        <v>840254041714</v>
      </c>
      <c r="C208" t="s">
        <v>1145</v>
      </c>
      <c r="D208" t="s">
        <v>1146</v>
      </c>
      <c r="E208" t="s">
        <v>477</v>
      </c>
      <c r="F208" t="s">
        <v>98</v>
      </c>
      <c r="G208">
        <v>1</v>
      </c>
      <c r="H208">
        <v>1</v>
      </c>
      <c r="I208" t="s">
        <v>99</v>
      </c>
      <c r="J208" s="4">
        <v>375</v>
      </c>
      <c r="K208" s="4">
        <v>1125</v>
      </c>
      <c r="O208" t="s">
        <v>100</v>
      </c>
      <c r="P208" s="4">
        <v>789.95</v>
      </c>
      <c r="S208">
        <v>26.75</v>
      </c>
      <c r="U208">
        <v>21.25</v>
      </c>
      <c r="W208">
        <v>20.149999999999999</v>
      </c>
      <c r="X208">
        <v>1</v>
      </c>
      <c r="Y208">
        <v>18</v>
      </c>
      <c r="Z208">
        <v>21.5</v>
      </c>
      <c r="AA208">
        <v>14.5</v>
      </c>
      <c r="AB208">
        <v>3.2469999999999999</v>
      </c>
      <c r="AC208">
        <v>25.31</v>
      </c>
      <c r="AE208">
        <v>3</v>
      </c>
      <c r="AF208" t="s">
        <v>1147</v>
      </c>
      <c r="AG208">
        <v>60</v>
      </c>
      <c r="AK208" t="s">
        <v>102</v>
      </c>
      <c r="AL208">
        <v>3</v>
      </c>
      <c r="AM208" t="s">
        <v>102</v>
      </c>
      <c r="AN208" t="s">
        <v>100</v>
      </c>
      <c r="AO208" t="s">
        <v>102</v>
      </c>
      <c r="AP208" t="s">
        <v>117</v>
      </c>
      <c r="AQ208" t="s">
        <v>104</v>
      </c>
      <c r="AV208" t="s">
        <v>102</v>
      </c>
      <c r="AX208" t="s">
        <v>479</v>
      </c>
      <c r="AZ208" t="s">
        <v>163</v>
      </c>
      <c r="BB208" t="s">
        <v>480</v>
      </c>
      <c r="BC208" t="s">
        <v>481</v>
      </c>
      <c r="BD208" t="s">
        <v>482</v>
      </c>
      <c r="BF208" t="s">
        <v>1148</v>
      </c>
      <c r="BG208" t="s">
        <v>102</v>
      </c>
      <c r="BH208" t="s">
        <v>102</v>
      </c>
      <c r="BI208" t="s">
        <v>102</v>
      </c>
      <c r="BK208" t="s">
        <v>1149</v>
      </c>
      <c r="BR208">
        <v>2.13</v>
      </c>
      <c r="BT208">
        <v>5.63</v>
      </c>
      <c r="CA208" t="s">
        <v>1150</v>
      </c>
      <c r="CB208" t="s">
        <v>479</v>
      </c>
      <c r="CL208" t="s">
        <v>102</v>
      </c>
      <c r="CM208" t="s">
        <v>100</v>
      </c>
      <c r="CN208" t="s">
        <v>1151</v>
      </c>
      <c r="CO208" s="1">
        <v>41244</v>
      </c>
      <c r="CP208" s="1">
        <v>43634</v>
      </c>
    </row>
    <row r="209" spans="1:94" x14ac:dyDescent="0.25">
      <c r="A209" t="s">
        <v>1152</v>
      </c>
      <c r="B209" t="str">
        <f xml:space="preserve"> "" &amp; 840254042896</f>
        <v>840254042896</v>
      </c>
      <c r="C209" t="s">
        <v>911</v>
      </c>
      <c r="D209" t="s">
        <v>1153</v>
      </c>
      <c r="E209" t="s">
        <v>477</v>
      </c>
      <c r="F209" t="s">
        <v>371</v>
      </c>
      <c r="G209">
        <v>1</v>
      </c>
      <c r="H209">
        <v>1</v>
      </c>
      <c r="I209" t="s">
        <v>99</v>
      </c>
      <c r="J209" s="4">
        <v>395</v>
      </c>
      <c r="K209" s="4">
        <v>1185</v>
      </c>
      <c r="O209" t="s">
        <v>100</v>
      </c>
      <c r="P209" s="4">
        <v>829.95</v>
      </c>
      <c r="S209">
        <v>36.5</v>
      </c>
      <c r="U209">
        <v>17</v>
      </c>
      <c r="W209">
        <v>18.010000000000002</v>
      </c>
      <c r="X209">
        <v>1</v>
      </c>
      <c r="Y209">
        <v>31.5</v>
      </c>
      <c r="Z209">
        <v>14.88</v>
      </c>
      <c r="AA209">
        <v>14.88</v>
      </c>
      <c r="AB209">
        <v>4.0359999999999996</v>
      </c>
      <c r="AC209">
        <v>23.72</v>
      </c>
      <c r="AE209">
        <v>4</v>
      </c>
      <c r="AF209" t="s">
        <v>365</v>
      </c>
      <c r="AG209">
        <v>60</v>
      </c>
      <c r="AK209" t="s">
        <v>102</v>
      </c>
      <c r="AM209" t="s">
        <v>102</v>
      </c>
      <c r="AN209" t="s">
        <v>100</v>
      </c>
      <c r="AO209" t="s">
        <v>102</v>
      </c>
      <c r="AP209" t="s">
        <v>103</v>
      </c>
      <c r="AQ209" t="s">
        <v>104</v>
      </c>
      <c r="AV209" t="s">
        <v>102</v>
      </c>
      <c r="AX209" t="s">
        <v>479</v>
      </c>
      <c r="AZ209" t="s">
        <v>163</v>
      </c>
      <c r="BF209" t="s">
        <v>1154</v>
      </c>
      <c r="BG209" t="s">
        <v>102</v>
      </c>
      <c r="BH209" t="s">
        <v>102</v>
      </c>
      <c r="BI209" t="s">
        <v>102</v>
      </c>
      <c r="BK209" t="s">
        <v>107</v>
      </c>
      <c r="BR209">
        <v>2.13</v>
      </c>
      <c r="BT209">
        <v>5.63</v>
      </c>
      <c r="CA209" t="s">
        <v>1155</v>
      </c>
      <c r="CB209" t="s">
        <v>479</v>
      </c>
      <c r="CL209" t="s">
        <v>102</v>
      </c>
      <c r="CM209" t="s">
        <v>102</v>
      </c>
      <c r="CN209" t="s">
        <v>1156</v>
      </c>
      <c r="CO209" s="1">
        <v>41589</v>
      </c>
      <c r="CP209" s="1">
        <v>43634</v>
      </c>
    </row>
    <row r="210" spans="1:94" x14ac:dyDescent="0.25">
      <c r="A210" t="s">
        <v>1157</v>
      </c>
      <c r="B210" t="str">
        <f xml:space="preserve"> "" &amp; 840254041721</f>
        <v>840254041721</v>
      </c>
      <c r="C210" t="s">
        <v>1038</v>
      </c>
      <c r="D210" t="s">
        <v>1158</v>
      </c>
      <c r="E210" t="s">
        <v>477</v>
      </c>
      <c r="F210" t="s">
        <v>98</v>
      </c>
      <c r="G210">
        <v>1</v>
      </c>
      <c r="H210">
        <v>1</v>
      </c>
      <c r="I210" t="s">
        <v>99</v>
      </c>
      <c r="J210" s="4">
        <v>495</v>
      </c>
      <c r="K210" s="4">
        <v>1485</v>
      </c>
      <c r="O210" t="s">
        <v>100</v>
      </c>
      <c r="P210" s="4">
        <v>1039.95</v>
      </c>
      <c r="S210">
        <v>23.75</v>
      </c>
      <c r="U210">
        <v>27.25</v>
      </c>
      <c r="W210">
        <v>22.58</v>
      </c>
      <c r="X210">
        <v>1</v>
      </c>
      <c r="Y210">
        <v>22.5</v>
      </c>
      <c r="Z210">
        <v>27.63</v>
      </c>
      <c r="AA210">
        <v>18</v>
      </c>
      <c r="AB210">
        <v>6.476</v>
      </c>
      <c r="AC210">
        <v>31.26</v>
      </c>
      <c r="AE210">
        <v>5</v>
      </c>
      <c r="AF210" t="s">
        <v>1147</v>
      </c>
      <c r="AG210">
        <v>60</v>
      </c>
      <c r="AK210" t="s">
        <v>102</v>
      </c>
      <c r="AM210" t="s">
        <v>102</v>
      </c>
      <c r="AN210" t="s">
        <v>100</v>
      </c>
      <c r="AO210" t="s">
        <v>102</v>
      </c>
      <c r="AP210" t="s">
        <v>117</v>
      </c>
      <c r="AQ210" t="s">
        <v>104</v>
      </c>
      <c r="AV210" t="s">
        <v>102</v>
      </c>
      <c r="AX210" t="s">
        <v>479</v>
      </c>
      <c r="AZ210" t="s">
        <v>163</v>
      </c>
      <c r="BB210" t="s">
        <v>480</v>
      </c>
      <c r="BC210" t="s">
        <v>1159</v>
      </c>
      <c r="BD210" t="s">
        <v>482</v>
      </c>
      <c r="BF210" t="s">
        <v>1160</v>
      </c>
      <c r="BG210" t="s">
        <v>102</v>
      </c>
      <c r="BH210" t="s">
        <v>102</v>
      </c>
      <c r="BI210" t="s">
        <v>102</v>
      </c>
      <c r="BK210" t="s">
        <v>1149</v>
      </c>
      <c r="BR210">
        <v>2.13</v>
      </c>
      <c r="BT210">
        <v>5.63</v>
      </c>
      <c r="CA210" t="s">
        <v>1161</v>
      </c>
      <c r="CB210" t="s">
        <v>479</v>
      </c>
      <c r="CL210" t="s">
        <v>100</v>
      </c>
      <c r="CM210" t="s">
        <v>102</v>
      </c>
      <c r="CN210" t="s">
        <v>1151</v>
      </c>
      <c r="CO210" s="1">
        <v>41244</v>
      </c>
      <c r="CP210" s="1">
        <v>43634</v>
      </c>
    </row>
    <row r="211" spans="1:94" x14ac:dyDescent="0.25">
      <c r="A211" t="s">
        <v>1162</v>
      </c>
      <c r="B211" t="str">
        <f xml:space="preserve"> "" &amp; 840254041707</f>
        <v>840254041707</v>
      </c>
      <c r="C211" t="s">
        <v>740</v>
      </c>
      <c r="D211" t="s">
        <v>1163</v>
      </c>
      <c r="E211" t="s">
        <v>477</v>
      </c>
      <c r="F211" t="s">
        <v>98</v>
      </c>
      <c r="G211">
        <v>1</v>
      </c>
      <c r="H211">
        <v>1</v>
      </c>
      <c r="I211" t="s">
        <v>99</v>
      </c>
      <c r="J211" s="4">
        <v>695</v>
      </c>
      <c r="K211" s="4">
        <v>2085</v>
      </c>
      <c r="O211" t="s">
        <v>100</v>
      </c>
      <c r="P211" s="4">
        <v>1459.95</v>
      </c>
      <c r="S211">
        <v>28.25</v>
      </c>
      <c r="U211">
        <v>31.75</v>
      </c>
      <c r="W211">
        <v>29.37</v>
      </c>
      <c r="X211">
        <v>1</v>
      </c>
      <c r="Y211">
        <v>17</v>
      </c>
      <c r="Z211">
        <v>33</v>
      </c>
      <c r="AA211">
        <v>29.5</v>
      </c>
      <c r="AB211">
        <v>9.577</v>
      </c>
      <c r="AC211">
        <v>40.520000000000003</v>
      </c>
      <c r="AE211">
        <v>6</v>
      </c>
      <c r="AF211" t="s">
        <v>1147</v>
      </c>
      <c r="AG211">
        <v>60</v>
      </c>
      <c r="AK211" t="s">
        <v>102</v>
      </c>
      <c r="AL211">
        <v>6</v>
      </c>
      <c r="AM211" t="s">
        <v>102</v>
      </c>
      <c r="AN211" t="s">
        <v>100</v>
      </c>
      <c r="AO211" t="s">
        <v>102</v>
      </c>
      <c r="AP211" t="s">
        <v>117</v>
      </c>
      <c r="AQ211" t="s">
        <v>104</v>
      </c>
      <c r="AV211" t="s">
        <v>102</v>
      </c>
      <c r="AX211" t="s">
        <v>479</v>
      </c>
      <c r="AZ211" t="s">
        <v>163</v>
      </c>
      <c r="BB211" t="s">
        <v>480</v>
      </c>
      <c r="BC211" t="s">
        <v>481</v>
      </c>
      <c r="BD211" t="s">
        <v>482</v>
      </c>
      <c r="BF211" t="s">
        <v>1164</v>
      </c>
      <c r="BG211" t="s">
        <v>102</v>
      </c>
      <c r="BH211" t="s">
        <v>102</v>
      </c>
      <c r="BI211" t="s">
        <v>102</v>
      </c>
      <c r="BK211" t="s">
        <v>1149</v>
      </c>
      <c r="BR211">
        <v>2.13</v>
      </c>
      <c r="BT211">
        <v>5.63</v>
      </c>
      <c r="CA211" t="s">
        <v>1165</v>
      </c>
      <c r="CB211" t="s">
        <v>479</v>
      </c>
      <c r="CL211" t="s">
        <v>100</v>
      </c>
      <c r="CM211" t="s">
        <v>102</v>
      </c>
      <c r="CN211" t="s">
        <v>1166</v>
      </c>
      <c r="CO211" s="1">
        <v>41244</v>
      </c>
      <c r="CP211" s="1">
        <v>43634</v>
      </c>
    </row>
    <row r="212" spans="1:94" x14ac:dyDescent="0.25">
      <c r="A212" t="s">
        <v>1167</v>
      </c>
      <c r="B212" t="str">
        <f xml:space="preserve"> "" &amp; 840254041684</f>
        <v>840254041684</v>
      </c>
      <c r="C212" t="s">
        <v>111</v>
      </c>
      <c r="D212" t="s">
        <v>1168</v>
      </c>
      <c r="E212" t="s">
        <v>477</v>
      </c>
      <c r="F212" t="s">
        <v>98</v>
      </c>
      <c r="G212">
        <v>1</v>
      </c>
      <c r="H212">
        <v>1</v>
      </c>
      <c r="I212" t="s">
        <v>99</v>
      </c>
      <c r="J212" s="4">
        <v>850</v>
      </c>
      <c r="K212" s="4">
        <v>2550</v>
      </c>
      <c r="O212" t="s">
        <v>100</v>
      </c>
      <c r="P212" s="4">
        <v>1784.95</v>
      </c>
      <c r="S212">
        <v>29</v>
      </c>
      <c r="U212">
        <v>35</v>
      </c>
      <c r="W212">
        <v>34.74</v>
      </c>
      <c r="X212">
        <v>1</v>
      </c>
      <c r="Y212">
        <v>19.5</v>
      </c>
      <c r="Z212">
        <v>34</v>
      </c>
      <c r="AA212">
        <v>34</v>
      </c>
      <c r="AB212">
        <v>13.045</v>
      </c>
      <c r="AC212">
        <v>49.96</v>
      </c>
      <c r="AE212">
        <v>8</v>
      </c>
      <c r="AF212" t="s">
        <v>1147</v>
      </c>
      <c r="AG212">
        <v>60</v>
      </c>
      <c r="AK212" t="s">
        <v>102</v>
      </c>
      <c r="AL212">
        <v>8</v>
      </c>
      <c r="AM212" t="s">
        <v>102</v>
      </c>
      <c r="AN212" t="s">
        <v>100</v>
      </c>
      <c r="AO212" t="s">
        <v>102</v>
      </c>
      <c r="AP212" t="s">
        <v>117</v>
      </c>
      <c r="AQ212" t="s">
        <v>104</v>
      </c>
      <c r="AV212" t="s">
        <v>102</v>
      </c>
      <c r="AX212" t="s">
        <v>479</v>
      </c>
      <c r="AZ212" t="s">
        <v>163</v>
      </c>
      <c r="BB212" t="s">
        <v>480</v>
      </c>
      <c r="BC212" t="s">
        <v>1169</v>
      </c>
      <c r="BD212" t="s">
        <v>482</v>
      </c>
      <c r="BF212" t="s">
        <v>1170</v>
      </c>
      <c r="BG212" t="s">
        <v>102</v>
      </c>
      <c r="BH212" t="s">
        <v>102</v>
      </c>
      <c r="BI212" t="s">
        <v>102</v>
      </c>
      <c r="BK212" t="s">
        <v>1149</v>
      </c>
      <c r="BR212">
        <v>2.13</v>
      </c>
      <c r="BT212">
        <v>5.63</v>
      </c>
      <c r="CA212" t="s">
        <v>1171</v>
      </c>
      <c r="CB212" t="s">
        <v>479</v>
      </c>
      <c r="CL212" t="s">
        <v>100</v>
      </c>
      <c r="CM212" t="s">
        <v>102</v>
      </c>
      <c r="CN212" t="s">
        <v>1172</v>
      </c>
      <c r="CO212" s="1">
        <v>41244</v>
      </c>
      <c r="CP212" s="1">
        <v>43634</v>
      </c>
    </row>
    <row r="213" spans="1:94" x14ac:dyDescent="0.25">
      <c r="A213" t="s">
        <v>1173</v>
      </c>
      <c r="B213" t="str">
        <f xml:space="preserve"> "" &amp; 840254041691</f>
        <v>840254041691</v>
      </c>
      <c r="C213" t="s">
        <v>95</v>
      </c>
      <c r="D213" t="s">
        <v>1174</v>
      </c>
      <c r="E213" t="s">
        <v>477</v>
      </c>
      <c r="F213" t="s">
        <v>98</v>
      </c>
      <c r="G213">
        <v>1</v>
      </c>
      <c r="H213">
        <v>1</v>
      </c>
      <c r="I213" t="s">
        <v>99</v>
      </c>
      <c r="J213" s="4">
        <v>1150</v>
      </c>
      <c r="K213" s="4">
        <v>3450</v>
      </c>
      <c r="O213" t="s">
        <v>100</v>
      </c>
      <c r="P213" s="4">
        <v>2414.9499999999998</v>
      </c>
      <c r="S213">
        <v>39</v>
      </c>
      <c r="U213">
        <v>38.25</v>
      </c>
      <c r="W213">
        <v>43.98</v>
      </c>
      <c r="X213">
        <v>1</v>
      </c>
      <c r="Y213">
        <v>26.25</v>
      </c>
      <c r="Z213">
        <v>37.880000000000003</v>
      </c>
      <c r="AA213">
        <v>37.880000000000003</v>
      </c>
      <c r="AB213">
        <v>21.797000000000001</v>
      </c>
      <c r="AC213">
        <v>66.14</v>
      </c>
      <c r="AE213">
        <v>12</v>
      </c>
      <c r="AF213" t="s">
        <v>1147</v>
      </c>
      <c r="AG213">
        <v>60</v>
      </c>
      <c r="AK213" t="s">
        <v>102</v>
      </c>
      <c r="AL213">
        <v>12</v>
      </c>
      <c r="AM213" t="s">
        <v>102</v>
      </c>
      <c r="AN213" t="s">
        <v>100</v>
      </c>
      <c r="AO213" t="s">
        <v>102</v>
      </c>
      <c r="AP213" t="s">
        <v>117</v>
      </c>
      <c r="AQ213" t="s">
        <v>104</v>
      </c>
      <c r="AV213" t="s">
        <v>102</v>
      </c>
      <c r="AX213" t="s">
        <v>479</v>
      </c>
      <c r="AZ213" t="s">
        <v>163</v>
      </c>
      <c r="BB213" t="s">
        <v>480</v>
      </c>
      <c r="BC213" t="s">
        <v>481</v>
      </c>
      <c r="BD213" t="s">
        <v>482</v>
      </c>
      <c r="BF213" t="s">
        <v>1175</v>
      </c>
      <c r="BG213" t="s">
        <v>102</v>
      </c>
      <c r="BH213" t="s">
        <v>102</v>
      </c>
      <c r="BI213" t="s">
        <v>102</v>
      </c>
      <c r="BK213" t="s">
        <v>1149</v>
      </c>
      <c r="BR213">
        <v>2.13</v>
      </c>
      <c r="BT213">
        <v>5.63</v>
      </c>
      <c r="CA213" t="s">
        <v>1176</v>
      </c>
      <c r="CB213" t="s">
        <v>479</v>
      </c>
      <c r="CL213" t="s">
        <v>100</v>
      </c>
      <c r="CM213" t="s">
        <v>102</v>
      </c>
      <c r="CN213" t="s">
        <v>1172</v>
      </c>
      <c r="CO213" s="1">
        <v>41244</v>
      </c>
      <c r="CP213" s="1">
        <v>43634</v>
      </c>
    </row>
    <row r="214" spans="1:94" x14ac:dyDescent="0.25">
      <c r="A214" t="s">
        <v>1177</v>
      </c>
      <c r="B214" t="str">
        <f xml:space="preserve"> "" &amp; 840254043046</f>
        <v>840254043046</v>
      </c>
      <c r="C214" t="s">
        <v>1178</v>
      </c>
      <c r="D214" t="s">
        <v>1179</v>
      </c>
      <c r="E214" t="s">
        <v>465</v>
      </c>
      <c r="F214" t="s">
        <v>371</v>
      </c>
      <c r="G214">
        <v>1</v>
      </c>
      <c r="H214">
        <v>1</v>
      </c>
      <c r="I214" t="s">
        <v>99</v>
      </c>
      <c r="J214" s="4">
        <v>235</v>
      </c>
      <c r="K214" s="4">
        <v>705</v>
      </c>
      <c r="O214" t="s">
        <v>100</v>
      </c>
      <c r="P214" s="4">
        <v>494.95</v>
      </c>
      <c r="S214">
        <v>12.25</v>
      </c>
      <c r="T214">
        <v>6</v>
      </c>
      <c r="U214">
        <v>6</v>
      </c>
      <c r="W214">
        <v>6.83</v>
      </c>
      <c r="X214">
        <v>1</v>
      </c>
      <c r="Y214">
        <v>10</v>
      </c>
      <c r="Z214">
        <v>20</v>
      </c>
      <c r="AA214">
        <v>9.75</v>
      </c>
      <c r="AB214">
        <v>1.1279999999999999</v>
      </c>
      <c r="AC214">
        <v>8.3800000000000008</v>
      </c>
      <c r="AE214">
        <v>3</v>
      </c>
      <c r="AF214" t="s">
        <v>466</v>
      </c>
      <c r="AG214">
        <v>75</v>
      </c>
      <c r="AK214" t="s">
        <v>100</v>
      </c>
      <c r="AM214" t="s">
        <v>102</v>
      </c>
      <c r="AN214" t="s">
        <v>102</v>
      </c>
      <c r="AO214" t="s">
        <v>100</v>
      </c>
      <c r="AP214" t="s">
        <v>117</v>
      </c>
      <c r="AQ214" t="s">
        <v>104</v>
      </c>
      <c r="AV214" t="s">
        <v>102</v>
      </c>
      <c r="AX214" t="s">
        <v>467</v>
      </c>
      <c r="AZ214" t="s">
        <v>454</v>
      </c>
      <c r="BF214" t="s">
        <v>1180</v>
      </c>
      <c r="BG214" t="s">
        <v>102</v>
      </c>
      <c r="BH214" t="s">
        <v>102</v>
      </c>
      <c r="BI214" t="s">
        <v>102</v>
      </c>
      <c r="BK214" t="s">
        <v>107</v>
      </c>
      <c r="BR214">
        <v>0.75</v>
      </c>
      <c r="BT214">
        <v>5</v>
      </c>
      <c r="CA214" t="s">
        <v>1181</v>
      </c>
      <c r="CB214" t="s">
        <v>467</v>
      </c>
      <c r="CL214" t="s">
        <v>102</v>
      </c>
      <c r="CM214" t="s">
        <v>100</v>
      </c>
      <c r="CN214" t="s">
        <v>424</v>
      </c>
      <c r="CO214" s="1">
        <v>41703</v>
      </c>
      <c r="CP214" s="1">
        <v>43634</v>
      </c>
    </row>
    <row r="215" spans="1:94" x14ac:dyDescent="0.25">
      <c r="A215" t="s">
        <v>1182</v>
      </c>
      <c r="B215" t="str">
        <f xml:space="preserve"> "" &amp; 840254043053</f>
        <v>840254043053</v>
      </c>
      <c r="C215" t="s">
        <v>1183</v>
      </c>
      <c r="D215" t="s">
        <v>1184</v>
      </c>
      <c r="E215" t="s">
        <v>465</v>
      </c>
      <c r="F215" t="s">
        <v>371</v>
      </c>
      <c r="G215">
        <v>1</v>
      </c>
      <c r="H215">
        <v>1</v>
      </c>
      <c r="I215" t="s">
        <v>99</v>
      </c>
      <c r="J215" s="4">
        <v>595</v>
      </c>
      <c r="K215" s="4">
        <v>1785</v>
      </c>
      <c r="O215" t="s">
        <v>100</v>
      </c>
      <c r="P215" s="4">
        <v>1249.95</v>
      </c>
      <c r="S215">
        <v>25.5</v>
      </c>
      <c r="T215">
        <v>9.75</v>
      </c>
      <c r="U215">
        <v>9.75</v>
      </c>
      <c r="W215">
        <v>16.09</v>
      </c>
      <c r="X215">
        <v>1</v>
      </c>
      <c r="Y215">
        <v>14</v>
      </c>
      <c r="Z215">
        <v>32.75</v>
      </c>
      <c r="AA215">
        <v>13.75</v>
      </c>
      <c r="AB215">
        <v>3.6480000000000001</v>
      </c>
      <c r="AC215">
        <v>20.72</v>
      </c>
      <c r="AE215">
        <v>7</v>
      </c>
      <c r="AF215" t="s">
        <v>466</v>
      </c>
      <c r="AG215">
        <v>75</v>
      </c>
      <c r="AK215" t="s">
        <v>100</v>
      </c>
      <c r="AM215" t="s">
        <v>102</v>
      </c>
      <c r="AN215" t="s">
        <v>102</v>
      </c>
      <c r="AO215" t="s">
        <v>100</v>
      </c>
      <c r="AP215" t="s">
        <v>117</v>
      </c>
      <c r="AQ215" t="s">
        <v>104</v>
      </c>
      <c r="AV215" t="s">
        <v>102</v>
      </c>
      <c r="AX215" t="s">
        <v>467</v>
      </c>
      <c r="AZ215" t="s">
        <v>454</v>
      </c>
      <c r="BF215" t="s">
        <v>1185</v>
      </c>
      <c r="BG215" t="s">
        <v>102</v>
      </c>
      <c r="BH215" t="s">
        <v>102</v>
      </c>
      <c r="BI215" t="s">
        <v>102</v>
      </c>
      <c r="BK215" t="s">
        <v>107</v>
      </c>
      <c r="BR215">
        <v>0.75</v>
      </c>
      <c r="BT215">
        <v>5</v>
      </c>
      <c r="CA215" t="s">
        <v>1186</v>
      </c>
      <c r="CB215" t="s">
        <v>467</v>
      </c>
      <c r="CL215" t="s">
        <v>102</v>
      </c>
      <c r="CM215" t="s">
        <v>100</v>
      </c>
      <c r="CN215" t="s">
        <v>424</v>
      </c>
      <c r="CO215" s="1">
        <v>41703</v>
      </c>
      <c r="CP215" s="1">
        <v>43634</v>
      </c>
    </row>
    <row r="216" spans="1:94" x14ac:dyDescent="0.25">
      <c r="A216" t="s">
        <v>1187</v>
      </c>
      <c r="B216" t="str">
        <f xml:space="preserve"> "" &amp; 840254043060</f>
        <v>840254043060</v>
      </c>
      <c r="C216" t="s">
        <v>716</v>
      </c>
      <c r="D216" t="s">
        <v>1188</v>
      </c>
      <c r="E216" t="s">
        <v>465</v>
      </c>
      <c r="F216" t="s">
        <v>710</v>
      </c>
      <c r="G216">
        <v>1</v>
      </c>
      <c r="H216">
        <v>1</v>
      </c>
      <c r="I216" t="s">
        <v>99</v>
      </c>
      <c r="J216" s="4">
        <v>450</v>
      </c>
      <c r="K216" s="4">
        <v>1350</v>
      </c>
      <c r="O216" t="s">
        <v>100</v>
      </c>
      <c r="P216" s="4">
        <v>944.95</v>
      </c>
      <c r="S216">
        <v>17</v>
      </c>
      <c r="T216">
        <v>18.5</v>
      </c>
      <c r="U216">
        <v>18.5</v>
      </c>
      <c r="W216">
        <v>13.01</v>
      </c>
      <c r="X216">
        <v>1</v>
      </c>
      <c r="Y216">
        <v>18.25</v>
      </c>
      <c r="Z216">
        <v>22.5</v>
      </c>
      <c r="AA216">
        <v>22.5</v>
      </c>
      <c r="AB216">
        <v>5.3470000000000004</v>
      </c>
      <c r="AC216">
        <v>19.84</v>
      </c>
      <c r="AE216">
        <v>5</v>
      </c>
      <c r="AF216" t="s">
        <v>466</v>
      </c>
      <c r="AG216">
        <v>75</v>
      </c>
      <c r="AK216" t="s">
        <v>100</v>
      </c>
      <c r="AM216" t="s">
        <v>102</v>
      </c>
      <c r="AN216" t="s">
        <v>102</v>
      </c>
      <c r="AO216" t="s">
        <v>100</v>
      </c>
      <c r="AP216" t="s">
        <v>117</v>
      </c>
      <c r="AQ216" t="s">
        <v>104</v>
      </c>
      <c r="AV216" t="s">
        <v>102</v>
      </c>
      <c r="AX216" t="s">
        <v>467</v>
      </c>
      <c r="AZ216" t="s">
        <v>454</v>
      </c>
      <c r="BF216" t="s">
        <v>1189</v>
      </c>
      <c r="BG216" t="s">
        <v>102</v>
      </c>
      <c r="BH216" t="s">
        <v>102</v>
      </c>
      <c r="BI216" t="s">
        <v>102</v>
      </c>
      <c r="BK216" t="s">
        <v>107</v>
      </c>
      <c r="BR216">
        <v>0.75</v>
      </c>
      <c r="BT216">
        <v>5</v>
      </c>
      <c r="CA216" t="s">
        <v>1190</v>
      </c>
      <c r="CB216" t="s">
        <v>467</v>
      </c>
      <c r="CL216" t="s">
        <v>102</v>
      </c>
      <c r="CM216" t="s">
        <v>102</v>
      </c>
      <c r="CN216" t="s">
        <v>424</v>
      </c>
      <c r="CO216" s="1">
        <v>41703</v>
      </c>
      <c r="CP216" s="1">
        <v>43634</v>
      </c>
    </row>
    <row r="217" spans="1:94" x14ac:dyDescent="0.25">
      <c r="A217" t="s">
        <v>1191</v>
      </c>
      <c r="B217" t="str">
        <f xml:space="preserve"> "" &amp; 840254043077</f>
        <v>840254043077</v>
      </c>
      <c r="C217" t="s">
        <v>1130</v>
      </c>
      <c r="D217" t="s">
        <v>1192</v>
      </c>
      <c r="E217" t="s">
        <v>465</v>
      </c>
      <c r="F217" t="s">
        <v>371</v>
      </c>
      <c r="G217">
        <v>1</v>
      </c>
      <c r="H217">
        <v>1</v>
      </c>
      <c r="I217" t="s">
        <v>99</v>
      </c>
      <c r="J217" s="4">
        <v>795</v>
      </c>
      <c r="K217" s="4">
        <v>2385</v>
      </c>
      <c r="O217" t="s">
        <v>100</v>
      </c>
      <c r="P217" s="4">
        <v>1669.95</v>
      </c>
      <c r="S217">
        <v>31.75</v>
      </c>
      <c r="T217">
        <v>14</v>
      </c>
      <c r="U217">
        <v>14</v>
      </c>
      <c r="W217">
        <v>26.46</v>
      </c>
      <c r="X217">
        <v>1</v>
      </c>
      <c r="Y217">
        <v>36</v>
      </c>
      <c r="Z217">
        <v>19.25</v>
      </c>
      <c r="AA217">
        <v>19.25</v>
      </c>
      <c r="AB217">
        <v>7.72</v>
      </c>
      <c r="AC217">
        <v>31.97</v>
      </c>
      <c r="AE217">
        <v>10</v>
      </c>
      <c r="AF217" t="s">
        <v>466</v>
      </c>
      <c r="AG217">
        <v>40</v>
      </c>
      <c r="AK217" t="s">
        <v>100</v>
      </c>
      <c r="AM217" t="s">
        <v>102</v>
      </c>
      <c r="AN217" t="s">
        <v>102</v>
      </c>
      <c r="AO217" t="s">
        <v>100</v>
      </c>
      <c r="AP217" t="s">
        <v>103</v>
      </c>
      <c r="AQ217" t="s">
        <v>104</v>
      </c>
      <c r="AV217" t="s">
        <v>102</v>
      </c>
      <c r="AX217" t="s">
        <v>467</v>
      </c>
      <c r="AZ217" t="s">
        <v>454</v>
      </c>
      <c r="BF217" t="s">
        <v>1193</v>
      </c>
      <c r="BG217" t="s">
        <v>102</v>
      </c>
      <c r="BH217" t="s">
        <v>102</v>
      </c>
      <c r="BI217" t="s">
        <v>102</v>
      </c>
      <c r="BK217" t="s">
        <v>107</v>
      </c>
      <c r="BR217">
        <v>0.75</v>
      </c>
      <c r="BT217">
        <v>5</v>
      </c>
      <c r="CA217" t="s">
        <v>1194</v>
      </c>
      <c r="CB217" t="s">
        <v>467</v>
      </c>
      <c r="CL217" t="s">
        <v>102</v>
      </c>
      <c r="CM217" t="s">
        <v>100</v>
      </c>
      <c r="CN217" t="s">
        <v>424</v>
      </c>
      <c r="CO217" s="1">
        <v>41703</v>
      </c>
      <c r="CP217" s="1">
        <v>43634</v>
      </c>
    </row>
    <row r="218" spans="1:94" x14ac:dyDescent="0.25">
      <c r="A218" t="s">
        <v>1195</v>
      </c>
      <c r="B218" t="str">
        <f xml:space="preserve"> "" &amp; 840254043084</f>
        <v>840254043084</v>
      </c>
      <c r="C218" t="s">
        <v>95</v>
      </c>
      <c r="D218" t="s">
        <v>1196</v>
      </c>
      <c r="E218" t="s">
        <v>465</v>
      </c>
      <c r="F218" t="s">
        <v>98</v>
      </c>
      <c r="G218">
        <v>1</v>
      </c>
      <c r="H218">
        <v>1</v>
      </c>
      <c r="I218" t="s">
        <v>99</v>
      </c>
      <c r="J218" s="4">
        <v>795</v>
      </c>
      <c r="K218" s="4">
        <v>2385</v>
      </c>
      <c r="O218" t="s">
        <v>100</v>
      </c>
      <c r="P218" s="4">
        <v>1669.95</v>
      </c>
      <c r="S218">
        <v>27.5</v>
      </c>
      <c r="T218">
        <v>24.75</v>
      </c>
      <c r="U218">
        <v>24.75</v>
      </c>
      <c r="W218">
        <v>28.66</v>
      </c>
      <c r="X218">
        <v>1</v>
      </c>
      <c r="Y218">
        <v>21.75</v>
      </c>
      <c r="Z218">
        <v>30.25</v>
      </c>
      <c r="AA218">
        <v>30.25</v>
      </c>
      <c r="AB218">
        <v>11.518000000000001</v>
      </c>
      <c r="AC218">
        <v>43.43</v>
      </c>
      <c r="AE218">
        <v>12</v>
      </c>
      <c r="AF218" t="s">
        <v>466</v>
      </c>
      <c r="AG218">
        <v>40</v>
      </c>
      <c r="AK218" t="s">
        <v>100</v>
      </c>
      <c r="AM218" t="s">
        <v>102</v>
      </c>
      <c r="AN218" t="s">
        <v>102</v>
      </c>
      <c r="AO218" t="s">
        <v>100</v>
      </c>
      <c r="AP218" t="s">
        <v>103</v>
      </c>
      <c r="AQ218" t="s">
        <v>104</v>
      </c>
      <c r="AV218" t="s">
        <v>102</v>
      </c>
      <c r="AX218" t="s">
        <v>467</v>
      </c>
      <c r="AZ218" t="s">
        <v>454</v>
      </c>
      <c r="BF218" t="s">
        <v>1197</v>
      </c>
      <c r="BG218" t="s">
        <v>102</v>
      </c>
      <c r="BH218" t="s">
        <v>102</v>
      </c>
      <c r="BI218" t="s">
        <v>102</v>
      </c>
      <c r="BK218" t="s">
        <v>107</v>
      </c>
      <c r="BR218">
        <v>0.75</v>
      </c>
      <c r="BT218">
        <v>5</v>
      </c>
      <c r="CA218" t="s">
        <v>1198</v>
      </c>
      <c r="CB218" t="s">
        <v>467</v>
      </c>
      <c r="CL218" t="s">
        <v>102</v>
      </c>
      <c r="CM218" t="s">
        <v>100</v>
      </c>
      <c r="CN218" t="s">
        <v>424</v>
      </c>
      <c r="CO218" s="1">
        <v>41703</v>
      </c>
      <c r="CP218" s="1">
        <v>43634</v>
      </c>
    </row>
    <row r="219" spans="1:94" x14ac:dyDescent="0.25">
      <c r="A219" t="s">
        <v>1199</v>
      </c>
      <c r="B219" t="str">
        <f xml:space="preserve"> "" &amp; 840254043091</f>
        <v>840254043091</v>
      </c>
      <c r="C219" t="s">
        <v>1200</v>
      </c>
      <c r="D219" t="s">
        <v>1201</v>
      </c>
      <c r="E219" t="s">
        <v>465</v>
      </c>
      <c r="F219" t="s">
        <v>98</v>
      </c>
      <c r="G219">
        <v>1</v>
      </c>
      <c r="H219">
        <v>1</v>
      </c>
      <c r="I219" t="s">
        <v>99</v>
      </c>
      <c r="J219" s="4">
        <v>1295</v>
      </c>
      <c r="K219" s="4">
        <v>3885</v>
      </c>
      <c r="O219" t="s">
        <v>100</v>
      </c>
      <c r="P219" s="4">
        <v>2719.95</v>
      </c>
      <c r="S219">
        <v>37</v>
      </c>
      <c r="T219">
        <v>30.75</v>
      </c>
      <c r="U219">
        <v>30.75</v>
      </c>
      <c r="W219">
        <v>36.6</v>
      </c>
      <c r="X219">
        <v>1</v>
      </c>
      <c r="Y219">
        <v>30</v>
      </c>
      <c r="Z219">
        <v>35.5</v>
      </c>
      <c r="AA219">
        <v>35.5</v>
      </c>
      <c r="AB219">
        <v>21.879000000000001</v>
      </c>
      <c r="AC219">
        <v>58.42</v>
      </c>
      <c r="AE219">
        <v>18</v>
      </c>
      <c r="AF219" t="s">
        <v>466</v>
      </c>
      <c r="AG219">
        <v>40</v>
      </c>
      <c r="AK219" t="s">
        <v>100</v>
      </c>
      <c r="AM219" t="s">
        <v>102</v>
      </c>
      <c r="AN219" t="s">
        <v>102</v>
      </c>
      <c r="AO219" t="s">
        <v>100</v>
      </c>
      <c r="AP219" t="s">
        <v>103</v>
      </c>
      <c r="AQ219" t="s">
        <v>104</v>
      </c>
      <c r="AV219" t="s">
        <v>102</v>
      </c>
      <c r="AX219" t="s">
        <v>467</v>
      </c>
      <c r="AZ219" t="s">
        <v>454</v>
      </c>
      <c r="BF219" t="s">
        <v>1202</v>
      </c>
      <c r="BG219" t="s">
        <v>102</v>
      </c>
      <c r="BH219" t="s">
        <v>102</v>
      </c>
      <c r="BI219" t="s">
        <v>102</v>
      </c>
      <c r="BK219" t="s">
        <v>107</v>
      </c>
      <c r="BR219">
        <v>0.75</v>
      </c>
      <c r="BT219">
        <v>6.25</v>
      </c>
      <c r="CA219" t="s">
        <v>1203</v>
      </c>
      <c r="CB219" t="s">
        <v>467</v>
      </c>
      <c r="CL219" t="s">
        <v>102</v>
      </c>
      <c r="CM219" t="s">
        <v>100</v>
      </c>
      <c r="CN219" t="s">
        <v>424</v>
      </c>
      <c r="CO219" s="1">
        <v>41703</v>
      </c>
      <c r="CP219" s="1">
        <v>43634</v>
      </c>
    </row>
    <row r="220" spans="1:94" x14ac:dyDescent="0.25">
      <c r="A220" t="s">
        <v>1204</v>
      </c>
      <c r="B220" t="str">
        <f xml:space="preserve"> "" &amp; 840254043107</f>
        <v>840254043107</v>
      </c>
      <c r="C220" t="s">
        <v>1022</v>
      </c>
      <c r="D220" t="s">
        <v>1205</v>
      </c>
      <c r="E220" t="s">
        <v>465</v>
      </c>
      <c r="F220" t="s">
        <v>98</v>
      </c>
      <c r="G220">
        <v>1</v>
      </c>
      <c r="H220">
        <v>1</v>
      </c>
      <c r="I220" t="s">
        <v>99</v>
      </c>
      <c r="J220" s="4">
        <v>1575</v>
      </c>
      <c r="K220" s="4">
        <v>4725</v>
      </c>
      <c r="O220" t="s">
        <v>100</v>
      </c>
      <c r="P220" s="4">
        <v>3309.95</v>
      </c>
      <c r="S220">
        <v>37</v>
      </c>
      <c r="T220">
        <v>34</v>
      </c>
      <c r="U220">
        <v>34</v>
      </c>
      <c r="W220">
        <v>43.89</v>
      </c>
      <c r="X220">
        <v>1</v>
      </c>
      <c r="Y220">
        <v>28.5</v>
      </c>
      <c r="Z220">
        <v>39.75</v>
      </c>
      <c r="AA220">
        <v>39.75</v>
      </c>
      <c r="AB220">
        <v>26.06</v>
      </c>
      <c r="AC220">
        <v>71.650000000000006</v>
      </c>
      <c r="AE220">
        <v>21</v>
      </c>
      <c r="AF220" t="s">
        <v>466</v>
      </c>
      <c r="AG220">
        <v>40</v>
      </c>
      <c r="AK220" t="s">
        <v>100</v>
      </c>
      <c r="AM220" t="s">
        <v>102</v>
      </c>
      <c r="AN220" t="s">
        <v>102</v>
      </c>
      <c r="AO220" t="s">
        <v>100</v>
      </c>
      <c r="AP220" t="s">
        <v>103</v>
      </c>
      <c r="AQ220" t="s">
        <v>104</v>
      </c>
      <c r="AV220" t="s">
        <v>102</v>
      </c>
      <c r="AX220" t="s">
        <v>467</v>
      </c>
      <c r="AZ220" t="s">
        <v>454</v>
      </c>
      <c r="BF220" t="s">
        <v>1206</v>
      </c>
      <c r="BG220" t="s">
        <v>102</v>
      </c>
      <c r="BH220" t="s">
        <v>102</v>
      </c>
      <c r="BI220" t="s">
        <v>102</v>
      </c>
      <c r="BK220" t="s">
        <v>107</v>
      </c>
      <c r="BR220">
        <v>0.75</v>
      </c>
      <c r="BT220">
        <v>6.25</v>
      </c>
      <c r="CA220" t="s">
        <v>1207</v>
      </c>
      <c r="CB220" t="s">
        <v>467</v>
      </c>
      <c r="CL220" t="s">
        <v>102</v>
      </c>
      <c r="CM220" t="s">
        <v>100</v>
      </c>
      <c r="CN220" t="s">
        <v>424</v>
      </c>
      <c r="CO220" s="1">
        <v>41703</v>
      </c>
      <c r="CP220" s="1">
        <v>43634</v>
      </c>
    </row>
    <row r="221" spans="1:94" x14ac:dyDescent="0.25">
      <c r="A221" t="s">
        <v>1208</v>
      </c>
      <c r="B221" t="str">
        <f xml:space="preserve"> "" &amp; 840254043114</f>
        <v>840254043114</v>
      </c>
      <c r="C221" t="s">
        <v>1209</v>
      </c>
      <c r="D221" t="s">
        <v>1210</v>
      </c>
      <c r="E221" t="s">
        <v>465</v>
      </c>
      <c r="F221" t="s">
        <v>828</v>
      </c>
      <c r="G221">
        <v>1</v>
      </c>
      <c r="H221">
        <v>1</v>
      </c>
      <c r="I221" t="s">
        <v>99</v>
      </c>
      <c r="J221" s="4">
        <v>1395</v>
      </c>
      <c r="K221" s="4">
        <v>4185</v>
      </c>
      <c r="O221" t="s">
        <v>100</v>
      </c>
      <c r="P221" s="4">
        <v>2929.95</v>
      </c>
      <c r="S221">
        <v>23.5</v>
      </c>
      <c r="U221">
        <v>44.5</v>
      </c>
      <c r="V221">
        <v>22</v>
      </c>
      <c r="W221">
        <v>38.36</v>
      </c>
      <c r="X221">
        <v>1</v>
      </c>
      <c r="Y221">
        <v>23</v>
      </c>
      <c r="Z221">
        <v>48</v>
      </c>
      <c r="AA221">
        <v>27.25</v>
      </c>
      <c r="AB221">
        <v>17.41</v>
      </c>
      <c r="AC221">
        <v>54.01</v>
      </c>
      <c r="AE221">
        <v>21</v>
      </c>
      <c r="AF221" t="s">
        <v>466</v>
      </c>
      <c r="AG221">
        <v>40</v>
      </c>
      <c r="AK221" t="s">
        <v>100</v>
      </c>
      <c r="AM221" t="s">
        <v>102</v>
      </c>
      <c r="AN221" t="s">
        <v>102</v>
      </c>
      <c r="AO221" t="s">
        <v>100</v>
      </c>
      <c r="AP221" t="s">
        <v>103</v>
      </c>
      <c r="AQ221" t="s">
        <v>104</v>
      </c>
      <c r="AV221" t="s">
        <v>102</v>
      </c>
      <c r="AX221" t="s">
        <v>467</v>
      </c>
      <c r="AZ221" t="s">
        <v>454</v>
      </c>
      <c r="BF221" t="s">
        <v>1211</v>
      </c>
      <c r="BG221" t="s">
        <v>102</v>
      </c>
      <c r="BH221" t="s">
        <v>102</v>
      </c>
      <c r="BI221" t="s">
        <v>102</v>
      </c>
      <c r="BK221" t="s">
        <v>107</v>
      </c>
      <c r="BR221">
        <v>0.75</v>
      </c>
      <c r="BT221">
        <v>6.25</v>
      </c>
      <c r="CA221" t="s">
        <v>1212</v>
      </c>
      <c r="CB221" t="s">
        <v>467</v>
      </c>
      <c r="CL221" t="s">
        <v>102</v>
      </c>
      <c r="CM221" t="s">
        <v>100</v>
      </c>
      <c r="CN221" t="s">
        <v>424</v>
      </c>
      <c r="CO221" s="1">
        <v>41703</v>
      </c>
      <c r="CP221" s="1">
        <v>43634</v>
      </c>
    </row>
    <row r="222" spans="1:94" x14ac:dyDescent="0.25">
      <c r="A222" t="s">
        <v>1213</v>
      </c>
      <c r="B222" t="str">
        <f xml:space="preserve"> "" &amp; 840254038585</f>
        <v>840254038585</v>
      </c>
      <c r="C222" t="s">
        <v>744</v>
      </c>
      <c r="D222" t="s">
        <v>1214</v>
      </c>
      <c r="E222" t="s">
        <v>525</v>
      </c>
      <c r="F222" t="s">
        <v>371</v>
      </c>
      <c r="G222">
        <v>1</v>
      </c>
      <c r="H222">
        <v>1</v>
      </c>
      <c r="I222" t="s">
        <v>99</v>
      </c>
      <c r="J222" s="4">
        <v>90</v>
      </c>
      <c r="K222" s="4">
        <v>270</v>
      </c>
      <c r="O222" t="s">
        <v>100</v>
      </c>
      <c r="P222" s="4">
        <v>189.95</v>
      </c>
      <c r="S222">
        <v>12.75</v>
      </c>
      <c r="T222">
        <v>6.5</v>
      </c>
      <c r="U222">
        <v>6.5</v>
      </c>
      <c r="W222">
        <v>4.03</v>
      </c>
      <c r="X222">
        <v>1</v>
      </c>
      <c r="Y222">
        <v>8.25</v>
      </c>
      <c r="Z222">
        <v>17.88</v>
      </c>
      <c r="AA222">
        <v>9.25</v>
      </c>
      <c r="AB222">
        <v>0.79</v>
      </c>
      <c r="AC222">
        <v>5.95</v>
      </c>
      <c r="AE222">
        <v>1</v>
      </c>
      <c r="AF222" t="s">
        <v>198</v>
      </c>
      <c r="AG222">
        <v>60</v>
      </c>
      <c r="AK222" t="s">
        <v>102</v>
      </c>
      <c r="AM222" t="s">
        <v>102</v>
      </c>
      <c r="AN222" t="s">
        <v>102</v>
      </c>
      <c r="AO222" t="s">
        <v>100</v>
      </c>
      <c r="AP222" t="s">
        <v>117</v>
      </c>
      <c r="AQ222" t="s">
        <v>104</v>
      </c>
      <c r="AV222" t="s">
        <v>102</v>
      </c>
      <c r="AX222" t="s">
        <v>527</v>
      </c>
      <c r="AZ222" t="s">
        <v>622</v>
      </c>
      <c r="BF222" t="s">
        <v>1215</v>
      </c>
      <c r="BG222" t="s">
        <v>102</v>
      </c>
      <c r="BH222" t="s">
        <v>102</v>
      </c>
      <c r="BI222" t="s">
        <v>102</v>
      </c>
      <c r="BK222" t="s">
        <v>107</v>
      </c>
      <c r="CA222" t="s">
        <v>1216</v>
      </c>
      <c r="CB222" t="s">
        <v>527</v>
      </c>
      <c r="CL222" t="s">
        <v>102</v>
      </c>
      <c r="CM222" t="s">
        <v>102</v>
      </c>
      <c r="CN222" t="s">
        <v>1217</v>
      </c>
      <c r="CO222" s="1">
        <v>40507</v>
      </c>
      <c r="CP222" s="1">
        <v>43634</v>
      </c>
    </row>
    <row r="223" spans="1:94" x14ac:dyDescent="0.25">
      <c r="A223" t="s">
        <v>1219</v>
      </c>
      <c r="B223" t="str">
        <f xml:space="preserve"> "" &amp; 840254038554</f>
        <v>840254038554</v>
      </c>
      <c r="C223" t="s">
        <v>1220</v>
      </c>
      <c r="D223" t="s">
        <v>1221</v>
      </c>
      <c r="E223" t="s">
        <v>525</v>
      </c>
      <c r="F223" t="s">
        <v>371</v>
      </c>
      <c r="G223">
        <v>1</v>
      </c>
      <c r="H223">
        <v>1</v>
      </c>
      <c r="I223" t="s">
        <v>99</v>
      </c>
      <c r="J223" s="4">
        <v>700</v>
      </c>
      <c r="K223" s="4">
        <v>2100</v>
      </c>
      <c r="O223" t="s">
        <v>100</v>
      </c>
      <c r="P223" s="4">
        <v>1469.95</v>
      </c>
      <c r="S223">
        <v>30.5</v>
      </c>
      <c r="U223">
        <v>27.75</v>
      </c>
      <c r="W223">
        <v>27.78</v>
      </c>
      <c r="X223">
        <v>1</v>
      </c>
      <c r="Y223">
        <v>14.5</v>
      </c>
      <c r="Z223">
        <v>31</v>
      </c>
      <c r="AA223">
        <v>31</v>
      </c>
      <c r="AB223">
        <v>8.0640000000000001</v>
      </c>
      <c r="AC223">
        <v>40.43</v>
      </c>
      <c r="AE223">
        <v>8</v>
      </c>
      <c r="AF223" t="s">
        <v>198</v>
      </c>
      <c r="AG223">
        <v>60</v>
      </c>
      <c r="AK223" t="s">
        <v>102</v>
      </c>
      <c r="AM223" t="s">
        <v>102</v>
      </c>
      <c r="AN223" t="s">
        <v>102</v>
      </c>
      <c r="AO223" t="s">
        <v>100</v>
      </c>
      <c r="AP223" t="s">
        <v>103</v>
      </c>
      <c r="AQ223" t="s">
        <v>104</v>
      </c>
      <c r="AV223" t="s">
        <v>102</v>
      </c>
      <c r="AX223" t="s">
        <v>527</v>
      </c>
      <c r="AZ223" t="s">
        <v>163</v>
      </c>
      <c r="BF223" t="s">
        <v>1222</v>
      </c>
      <c r="BG223" t="s">
        <v>102</v>
      </c>
      <c r="BH223" t="s">
        <v>102</v>
      </c>
      <c r="BI223" t="s">
        <v>102</v>
      </c>
      <c r="BK223" t="s">
        <v>107</v>
      </c>
      <c r="CA223" t="s">
        <v>1223</v>
      </c>
      <c r="CB223" t="s">
        <v>527</v>
      </c>
      <c r="CL223" t="s">
        <v>102</v>
      </c>
      <c r="CM223" t="s">
        <v>102</v>
      </c>
      <c r="CN223" t="s">
        <v>1224</v>
      </c>
      <c r="CO223" s="1">
        <v>40507</v>
      </c>
      <c r="CP223" s="1">
        <v>43634</v>
      </c>
    </row>
    <row r="224" spans="1:94" x14ac:dyDescent="0.25">
      <c r="A224" t="s">
        <v>1225</v>
      </c>
      <c r="B224" t="str">
        <f xml:space="preserve"> "" &amp; 840254038547</f>
        <v>840254038547</v>
      </c>
      <c r="C224" t="s">
        <v>740</v>
      </c>
      <c r="D224" t="s">
        <v>1218</v>
      </c>
      <c r="E224" t="s">
        <v>525</v>
      </c>
      <c r="F224" t="s">
        <v>98</v>
      </c>
      <c r="G224">
        <v>1</v>
      </c>
      <c r="H224">
        <v>1</v>
      </c>
      <c r="I224" t="s">
        <v>99</v>
      </c>
      <c r="J224" s="4">
        <v>650</v>
      </c>
      <c r="K224" s="4">
        <v>1950</v>
      </c>
      <c r="O224" t="s">
        <v>100</v>
      </c>
      <c r="P224" s="4">
        <v>1364.95</v>
      </c>
      <c r="S224">
        <v>24.75</v>
      </c>
      <c r="U224">
        <v>23.5</v>
      </c>
      <c r="W224">
        <v>28.66</v>
      </c>
      <c r="X224">
        <v>1</v>
      </c>
      <c r="Y224">
        <v>13.25</v>
      </c>
      <c r="Z224">
        <v>26.75</v>
      </c>
      <c r="AA224">
        <v>26.75</v>
      </c>
      <c r="AB224">
        <v>5.4870000000000001</v>
      </c>
      <c r="AC224">
        <v>39.07</v>
      </c>
      <c r="AE224">
        <v>6</v>
      </c>
      <c r="AF224" t="s">
        <v>167</v>
      </c>
      <c r="AG224">
        <v>60</v>
      </c>
      <c r="AK224" t="s">
        <v>102</v>
      </c>
      <c r="AM224" t="s">
        <v>102</v>
      </c>
      <c r="AN224" t="s">
        <v>102</v>
      </c>
      <c r="AO224" t="s">
        <v>100</v>
      </c>
      <c r="AP224" t="s">
        <v>117</v>
      </c>
      <c r="AQ224" t="s">
        <v>104</v>
      </c>
      <c r="AV224" t="s">
        <v>102</v>
      </c>
      <c r="AX224" t="s">
        <v>527</v>
      </c>
      <c r="AZ224" t="s">
        <v>163</v>
      </c>
      <c r="BB224" t="s">
        <v>605</v>
      </c>
      <c r="BF224" t="s">
        <v>1226</v>
      </c>
      <c r="BG224" t="s">
        <v>102</v>
      </c>
      <c r="BH224" t="s">
        <v>102</v>
      </c>
      <c r="BI224" t="s">
        <v>102</v>
      </c>
      <c r="BK224" t="s">
        <v>107</v>
      </c>
      <c r="CA224" t="s">
        <v>1227</v>
      </c>
      <c r="CB224" t="s">
        <v>527</v>
      </c>
      <c r="CL224" t="s">
        <v>102</v>
      </c>
      <c r="CM224" t="s">
        <v>102</v>
      </c>
      <c r="CN224" t="s">
        <v>272</v>
      </c>
      <c r="CO224" s="1">
        <v>40507</v>
      </c>
      <c r="CP224" s="1">
        <v>43634</v>
      </c>
    </row>
    <row r="225" spans="1:94" x14ac:dyDescent="0.25">
      <c r="A225" t="s">
        <v>1228</v>
      </c>
      <c r="B225" t="str">
        <f xml:space="preserve"> "" &amp; 840254038592</f>
        <v>840254038592</v>
      </c>
      <c r="C225" t="s">
        <v>111</v>
      </c>
      <c r="D225" t="s">
        <v>1229</v>
      </c>
      <c r="E225" t="s">
        <v>525</v>
      </c>
      <c r="F225" t="s">
        <v>98</v>
      </c>
      <c r="G225">
        <v>1</v>
      </c>
      <c r="H225">
        <v>1</v>
      </c>
      <c r="I225" t="s">
        <v>99</v>
      </c>
      <c r="J225" s="4">
        <v>995</v>
      </c>
      <c r="K225" s="4">
        <v>2985</v>
      </c>
      <c r="O225" t="s">
        <v>100</v>
      </c>
      <c r="P225" s="4">
        <v>2089.9499999999998</v>
      </c>
      <c r="S225">
        <v>36</v>
      </c>
      <c r="U225">
        <v>32</v>
      </c>
      <c r="W225">
        <v>50.71</v>
      </c>
      <c r="X225">
        <v>1</v>
      </c>
      <c r="Y225">
        <v>16.25</v>
      </c>
      <c r="Z225">
        <v>36.130000000000003</v>
      </c>
      <c r="AA225">
        <v>36.130000000000003</v>
      </c>
      <c r="AB225">
        <v>12.276</v>
      </c>
      <c r="AC225">
        <v>69.67</v>
      </c>
      <c r="AE225">
        <v>8</v>
      </c>
      <c r="AF225" t="s">
        <v>167</v>
      </c>
      <c r="AG225">
        <v>60</v>
      </c>
      <c r="AK225" t="s">
        <v>102</v>
      </c>
      <c r="AM225" t="s">
        <v>102</v>
      </c>
      <c r="AN225" t="s">
        <v>102</v>
      </c>
      <c r="AO225" t="s">
        <v>100</v>
      </c>
      <c r="AP225" t="s">
        <v>103</v>
      </c>
      <c r="AQ225" t="s">
        <v>104</v>
      </c>
      <c r="AV225" t="s">
        <v>102</v>
      </c>
      <c r="AX225" t="s">
        <v>527</v>
      </c>
      <c r="AZ225" t="s">
        <v>163</v>
      </c>
      <c r="BF225" t="s">
        <v>1230</v>
      </c>
      <c r="BG225" t="s">
        <v>102</v>
      </c>
      <c r="BH225" t="s">
        <v>102</v>
      </c>
      <c r="BI225" t="s">
        <v>102</v>
      </c>
      <c r="BK225" t="s">
        <v>107</v>
      </c>
      <c r="CA225" t="s">
        <v>1231</v>
      </c>
      <c r="CB225" t="s">
        <v>527</v>
      </c>
      <c r="CL225" t="s">
        <v>102</v>
      </c>
      <c r="CM225" t="s">
        <v>102</v>
      </c>
      <c r="CN225" t="s">
        <v>272</v>
      </c>
      <c r="CO225" s="1">
        <v>40507</v>
      </c>
      <c r="CP225" s="1">
        <v>43634</v>
      </c>
    </row>
    <row r="226" spans="1:94" x14ac:dyDescent="0.25">
      <c r="A226" t="s">
        <v>1232</v>
      </c>
      <c r="B226" t="str">
        <f xml:space="preserve"> "" &amp; 840254038530</f>
        <v>840254038530</v>
      </c>
      <c r="C226" t="s">
        <v>1233</v>
      </c>
      <c r="D226" t="s">
        <v>1229</v>
      </c>
      <c r="E226" t="s">
        <v>525</v>
      </c>
      <c r="F226" t="s">
        <v>98</v>
      </c>
      <c r="G226">
        <v>1</v>
      </c>
      <c r="H226">
        <v>1</v>
      </c>
      <c r="I226" t="s">
        <v>99</v>
      </c>
      <c r="J226" s="4">
        <v>1100</v>
      </c>
      <c r="K226" s="4">
        <v>3300</v>
      </c>
      <c r="O226" t="s">
        <v>100</v>
      </c>
      <c r="P226" s="4">
        <v>2309.9499999999998</v>
      </c>
      <c r="S226">
        <v>32.5</v>
      </c>
      <c r="T226">
        <v>42</v>
      </c>
      <c r="U226">
        <v>18.75</v>
      </c>
      <c r="W226">
        <v>52.91</v>
      </c>
      <c r="X226">
        <v>1</v>
      </c>
      <c r="Y226">
        <v>15.25</v>
      </c>
      <c r="Z226">
        <v>45.5</v>
      </c>
      <c r="AA226">
        <v>22.5</v>
      </c>
      <c r="AB226">
        <v>9.0350000000000001</v>
      </c>
      <c r="AC226">
        <v>66.14</v>
      </c>
      <c r="AE226">
        <v>8</v>
      </c>
      <c r="AF226" t="s">
        <v>167</v>
      </c>
      <c r="AG226">
        <v>60</v>
      </c>
      <c r="AK226" t="s">
        <v>102</v>
      </c>
      <c r="AM226" t="s">
        <v>102</v>
      </c>
      <c r="AN226" t="s">
        <v>102</v>
      </c>
      <c r="AO226" t="s">
        <v>100</v>
      </c>
      <c r="AP226" t="s">
        <v>103</v>
      </c>
      <c r="AQ226" t="s">
        <v>104</v>
      </c>
      <c r="AV226" t="s">
        <v>102</v>
      </c>
      <c r="AX226" t="s">
        <v>527</v>
      </c>
      <c r="AZ226" t="s">
        <v>163</v>
      </c>
      <c r="BF226" t="s">
        <v>1234</v>
      </c>
      <c r="BG226" t="s">
        <v>102</v>
      </c>
      <c r="BH226" t="s">
        <v>102</v>
      </c>
      <c r="BI226" t="s">
        <v>102</v>
      </c>
      <c r="BK226" t="s">
        <v>107</v>
      </c>
      <c r="CA226" t="s">
        <v>1235</v>
      </c>
      <c r="CB226" t="s">
        <v>527</v>
      </c>
      <c r="CL226" t="s">
        <v>102</v>
      </c>
      <c r="CM226" t="s">
        <v>102</v>
      </c>
      <c r="CN226" t="s">
        <v>272</v>
      </c>
      <c r="CO226" s="1">
        <v>40507</v>
      </c>
      <c r="CP226" s="1">
        <v>43634</v>
      </c>
    </row>
    <row r="227" spans="1:94" x14ac:dyDescent="0.25">
      <c r="A227" t="s">
        <v>1236</v>
      </c>
      <c r="B227" t="str">
        <f xml:space="preserve"> "" &amp; 840254038974</f>
        <v>840254038974</v>
      </c>
      <c r="C227" t="s">
        <v>1237</v>
      </c>
      <c r="D227" t="s">
        <v>1238</v>
      </c>
      <c r="E227" t="s">
        <v>525</v>
      </c>
      <c r="F227" t="s">
        <v>371</v>
      </c>
      <c r="G227">
        <v>1</v>
      </c>
      <c r="H227">
        <v>1</v>
      </c>
      <c r="I227" t="s">
        <v>99</v>
      </c>
      <c r="J227" s="4">
        <v>375</v>
      </c>
      <c r="K227" s="4">
        <v>1125</v>
      </c>
      <c r="O227" t="s">
        <v>100</v>
      </c>
      <c r="P227" s="4">
        <v>789.95</v>
      </c>
      <c r="S227">
        <v>23.5</v>
      </c>
      <c r="U227">
        <v>20</v>
      </c>
      <c r="W227">
        <v>16.309999999999999</v>
      </c>
      <c r="X227">
        <v>1</v>
      </c>
      <c r="Y227">
        <v>11.63</v>
      </c>
      <c r="Z227">
        <v>23.25</v>
      </c>
      <c r="AA227">
        <v>23.25</v>
      </c>
      <c r="AB227">
        <v>3.6379999999999999</v>
      </c>
      <c r="AC227">
        <v>23.37</v>
      </c>
      <c r="AE227">
        <v>6</v>
      </c>
      <c r="AF227" t="s">
        <v>167</v>
      </c>
      <c r="AG227">
        <v>60</v>
      </c>
      <c r="AK227" t="s">
        <v>102</v>
      </c>
      <c r="AM227" t="s">
        <v>102</v>
      </c>
      <c r="AN227" t="s">
        <v>102</v>
      </c>
      <c r="AO227" t="s">
        <v>100</v>
      </c>
      <c r="AP227" t="s">
        <v>117</v>
      </c>
      <c r="AQ227" t="s">
        <v>104</v>
      </c>
      <c r="AV227" t="s">
        <v>102</v>
      </c>
      <c r="AX227" t="s">
        <v>527</v>
      </c>
      <c r="AZ227" t="s">
        <v>163</v>
      </c>
      <c r="BF227" t="s">
        <v>1239</v>
      </c>
      <c r="BG227" t="s">
        <v>102</v>
      </c>
      <c r="BH227" t="s">
        <v>102</v>
      </c>
      <c r="BI227" t="s">
        <v>102</v>
      </c>
      <c r="BK227" t="s">
        <v>107</v>
      </c>
      <c r="CA227" t="s">
        <v>1240</v>
      </c>
      <c r="CB227" t="s">
        <v>527</v>
      </c>
      <c r="CL227" t="s">
        <v>102</v>
      </c>
      <c r="CM227" t="s">
        <v>102</v>
      </c>
      <c r="CN227" t="s">
        <v>1224</v>
      </c>
      <c r="CO227" s="1">
        <v>40593</v>
      </c>
      <c r="CP227" s="1">
        <v>43634</v>
      </c>
    </row>
    <row r="228" spans="1:94" x14ac:dyDescent="0.25">
      <c r="A228" t="s">
        <v>1241</v>
      </c>
      <c r="B228" t="str">
        <f xml:space="preserve"> "" &amp; 840254040113</f>
        <v>840254040113</v>
      </c>
      <c r="C228" t="s">
        <v>1242</v>
      </c>
      <c r="D228" t="s">
        <v>1243</v>
      </c>
      <c r="E228" t="s">
        <v>525</v>
      </c>
      <c r="F228" t="s">
        <v>371</v>
      </c>
      <c r="G228">
        <v>1</v>
      </c>
      <c r="H228">
        <v>1</v>
      </c>
      <c r="I228" t="s">
        <v>99</v>
      </c>
      <c r="J228" s="4">
        <v>865</v>
      </c>
      <c r="K228" s="4">
        <v>2595</v>
      </c>
      <c r="O228" t="s">
        <v>100</v>
      </c>
      <c r="P228" s="4">
        <v>1819.95</v>
      </c>
      <c r="S228">
        <v>37</v>
      </c>
      <c r="U228">
        <v>36</v>
      </c>
      <c r="W228">
        <v>42.99</v>
      </c>
      <c r="X228">
        <v>1</v>
      </c>
      <c r="Y228">
        <v>16</v>
      </c>
      <c r="Z228">
        <v>40.25</v>
      </c>
      <c r="AA228">
        <v>40.25</v>
      </c>
      <c r="AB228">
        <v>15.000999999999999</v>
      </c>
      <c r="AC228">
        <v>61.95</v>
      </c>
      <c r="AE228">
        <v>10</v>
      </c>
      <c r="AF228" t="s">
        <v>198</v>
      </c>
      <c r="AG228">
        <v>60</v>
      </c>
      <c r="AK228" t="s">
        <v>100</v>
      </c>
      <c r="AM228" t="s">
        <v>102</v>
      </c>
      <c r="AN228" t="s">
        <v>102</v>
      </c>
      <c r="AO228" t="s">
        <v>100</v>
      </c>
      <c r="AP228" t="s">
        <v>103</v>
      </c>
      <c r="AQ228" t="s">
        <v>104</v>
      </c>
      <c r="AV228" t="s">
        <v>102</v>
      </c>
      <c r="AX228" t="s">
        <v>527</v>
      </c>
      <c r="AZ228" t="s">
        <v>163</v>
      </c>
      <c r="BF228" t="s">
        <v>1244</v>
      </c>
      <c r="BG228" t="s">
        <v>102</v>
      </c>
      <c r="BH228" t="s">
        <v>102</v>
      </c>
      <c r="BI228" t="s">
        <v>102</v>
      </c>
      <c r="BK228" t="s">
        <v>107</v>
      </c>
      <c r="CA228" t="s">
        <v>1245</v>
      </c>
      <c r="CB228" t="s">
        <v>527</v>
      </c>
      <c r="CL228" t="s">
        <v>102</v>
      </c>
      <c r="CM228" t="s">
        <v>102</v>
      </c>
      <c r="CN228" t="s">
        <v>1246</v>
      </c>
      <c r="CO228" s="1">
        <v>40781</v>
      </c>
      <c r="CP228" s="1">
        <v>43634</v>
      </c>
    </row>
    <row r="229" spans="1:94" x14ac:dyDescent="0.25">
      <c r="A229" t="s">
        <v>1247</v>
      </c>
      <c r="B229" t="str">
        <f xml:space="preserve"> "" &amp; 840254038295</f>
        <v>840254038295</v>
      </c>
      <c r="C229" t="s">
        <v>708</v>
      </c>
      <c r="D229" t="s">
        <v>1248</v>
      </c>
      <c r="E229" t="s">
        <v>570</v>
      </c>
      <c r="F229" t="s">
        <v>710</v>
      </c>
      <c r="G229">
        <v>1</v>
      </c>
      <c r="H229">
        <v>1</v>
      </c>
      <c r="I229" t="s">
        <v>99</v>
      </c>
      <c r="J229" s="4">
        <v>325</v>
      </c>
      <c r="K229" s="4">
        <v>975</v>
      </c>
      <c r="O229" t="s">
        <v>100</v>
      </c>
      <c r="P229" s="4">
        <v>684.95</v>
      </c>
      <c r="S229">
        <v>9.5</v>
      </c>
      <c r="T229">
        <v>18</v>
      </c>
      <c r="U229">
        <v>18</v>
      </c>
      <c r="W229">
        <v>9.0399999999999991</v>
      </c>
      <c r="X229">
        <v>1</v>
      </c>
      <c r="Y229">
        <v>11.75</v>
      </c>
      <c r="Z229">
        <v>20.88</v>
      </c>
      <c r="AA229">
        <v>20.88</v>
      </c>
      <c r="AB229">
        <v>2.9649999999999999</v>
      </c>
      <c r="AC229">
        <v>12.96</v>
      </c>
      <c r="AE229">
        <v>3</v>
      </c>
      <c r="AF229" t="s">
        <v>575</v>
      </c>
      <c r="AG229">
        <v>60</v>
      </c>
      <c r="AK229" t="s">
        <v>102</v>
      </c>
      <c r="AM229" t="s">
        <v>102</v>
      </c>
      <c r="AN229" t="s">
        <v>100</v>
      </c>
      <c r="AO229" t="s">
        <v>102</v>
      </c>
      <c r="AP229" t="s">
        <v>117</v>
      </c>
      <c r="AQ229" t="s">
        <v>104</v>
      </c>
      <c r="AV229" t="s">
        <v>102</v>
      </c>
      <c r="AX229" t="s">
        <v>168</v>
      </c>
      <c r="AZ229" t="s">
        <v>454</v>
      </c>
      <c r="BB229" t="s">
        <v>147</v>
      </c>
      <c r="BC229" t="s">
        <v>275</v>
      </c>
      <c r="BF229" t="s">
        <v>1249</v>
      </c>
      <c r="BG229" t="s">
        <v>102</v>
      </c>
      <c r="BH229" t="s">
        <v>102</v>
      </c>
      <c r="BI229" t="s">
        <v>102</v>
      </c>
      <c r="BK229" t="s">
        <v>191</v>
      </c>
      <c r="BQ229">
        <v>4.75</v>
      </c>
      <c r="BR229">
        <v>0.75</v>
      </c>
      <c r="BS229">
        <v>4.75</v>
      </c>
      <c r="BT229">
        <v>4.75</v>
      </c>
      <c r="CA229" t="s">
        <v>1250</v>
      </c>
      <c r="CB229" t="s">
        <v>168</v>
      </c>
      <c r="CL229" t="s">
        <v>100</v>
      </c>
      <c r="CM229" t="s">
        <v>102</v>
      </c>
      <c r="CN229" t="s">
        <v>272</v>
      </c>
      <c r="CO229" s="1">
        <v>40507</v>
      </c>
      <c r="CP229" s="1">
        <v>43634</v>
      </c>
    </row>
    <row r="230" spans="1:94" x14ac:dyDescent="0.25">
      <c r="A230" t="s">
        <v>1252</v>
      </c>
      <c r="B230" t="str">
        <f xml:space="preserve"> "" &amp; 840254040045</f>
        <v>840254040045</v>
      </c>
      <c r="C230" t="s">
        <v>1220</v>
      </c>
      <c r="D230" t="s">
        <v>1253</v>
      </c>
      <c r="E230" t="s">
        <v>570</v>
      </c>
      <c r="F230" t="s">
        <v>371</v>
      </c>
      <c r="G230">
        <v>1</v>
      </c>
      <c r="H230">
        <v>1</v>
      </c>
      <c r="I230" t="s">
        <v>99</v>
      </c>
      <c r="J230" s="4">
        <v>595</v>
      </c>
      <c r="K230" s="4">
        <v>1785</v>
      </c>
      <c r="O230" t="s">
        <v>100</v>
      </c>
      <c r="P230" s="4">
        <v>1249.95</v>
      </c>
      <c r="S230">
        <v>13.25</v>
      </c>
      <c r="U230">
        <v>26.5</v>
      </c>
      <c r="W230">
        <v>17.64</v>
      </c>
      <c r="X230">
        <v>1</v>
      </c>
      <c r="Y230">
        <v>16</v>
      </c>
      <c r="Z230">
        <v>27.75</v>
      </c>
      <c r="AA230">
        <v>26.75</v>
      </c>
      <c r="AB230">
        <v>6.8730000000000002</v>
      </c>
      <c r="AC230">
        <v>24.76</v>
      </c>
      <c r="AE230">
        <v>8</v>
      </c>
      <c r="AF230" t="s">
        <v>552</v>
      </c>
      <c r="AG230">
        <v>60</v>
      </c>
      <c r="AK230" t="s">
        <v>102</v>
      </c>
      <c r="AM230" t="s">
        <v>102</v>
      </c>
      <c r="AN230" t="s">
        <v>100</v>
      </c>
      <c r="AO230" t="s">
        <v>102</v>
      </c>
      <c r="AP230" t="s">
        <v>117</v>
      </c>
      <c r="AQ230" t="s">
        <v>104</v>
      </c>
      <c r="AV230" t="s">
        <v>102</v>
      </c>
      <c r="AX230" t="s">
        <v>168</v>
      </c>
      <c r="AZ230" t="s">
        <v>454</v>
      </c>
      <c r="BF230" t="s">
        <v>1254</v>
      </c>
      <c r="BG230" t="s">
        <v>102</v>
      </c>
      <c r="BH230" t="s">
        <v>102</v>
      </c>
      <c r="BI230" t="s">
        <v>102</v>
      </c>
      <c r="BK230" t="s">
        <v>107</v>
      </c>
      <c r="BR230">
        <v>1</v>
      </c>
      <c r="BT230">
        <v>6</v>
      </c>
      <c r="CA230" t="s">
        <v>1255</v>
      </c>
      <c r="CB230" t="s">
        <v>168</v>
      </c>
      <c r="CL230" t="s">
        <v>100</v>
      </c>
      <c r="CM230" t="s">
        <v>100</v>
      </c>
      <c r="CN230" t="s">
        <v>272</v>
      </c>
      <c r="CO230" s="1">
        <v>42509</v>
      </c>
      <c r="CP230" s="1">
        <v>43634</v>
      </c>
    </row>
    <row r="231" spans="1:94" x14ac:dyDescent="0.25">
      <c r="A231" t="s">
        <v>1256</v>
      </c>
      <c r="B231" t="str">
        <f xml:space="preserve"> "" &amp; 840254040076</f>
        <v>840254040076</v>
      </c>
      <c r="C231" t="s">
        <v>891</v>
      </c>
      <c r="D231" t="s">
        <v>1251</v>
      </c>
      <c r="E231" t="s">
        <v>570</v>
      </c>
      <c r="F231" t="s">
        <v>371</v>
      </c>
      <c r="G231">
        <v>1</v>
      </c>
      <c r="H231">
        <v>1</v>
      </c>
      <c r="I231" t="s">
        <v>99</v>
      </c>
      <c r="J231" s="4">
        <v>395</v>
      </c>
      <c r="K231" s="4">
        <v>1185</v>
      </c>
      <c r="O231" t="s">
        <v>100</v>
      </c>
      <c r="P231" s="4">
        <v>829.95</v>
      </c>
      <c r="S231">
        <v>7.5</v>
      </c>
      <c r="T231">
        <v>21</v>
      </c>
      <c r="U231">
        <v>21</v>
      </c>
      <c r="W231">
        <v>11.46</v>
      </c>
      <c r="X231">
        <v>1</v>
      </c>
      <c r="Y231">
        <v>11.5</v>
      </c>
      <c r="Z231">
        <v>24</v>
      </c>
      <c r="AA231">
        <v>24</v>
      </c>
      <c r="AB231">
        <v>3.8330000000000002</v>
      </c>
      <c r="AC231">
        <v>16.53</v>
      </c>
      <c r="AE231">
        <v>5</v>
      </c>
      <c r="AF231" t="s">
        <v>575</v>
      </c>
      <c r="AG231">
        <v>60</v>
      </c>
      <c r="AK231" t="s">
        <v>102</v>
      </c>
      <c r="AM231" t="s">
        <v>102</v>
      </c>
      <c r="AN231" t="s">
        <v>100</v>
      </c>
      <c r="AO231" t="s">
        <v>102</v>
      </c>
      <c r="AP231" t="s">
        <v>117</v>
      </c>
      <c r="AQ231" t="s">
        <v>104</v>
      </c>
      <c r="AV231" t="s">
        <v>102</v>
      </c>
      <c r="AX231" t="s">
        <v>168</v>
      </c>
      <c r="AZ231" t="s">
        <v>454</v>
      </c>
      <c r="BF231" t="s">
        <v>1257</v>
      </c>
      <c r="BG231" t="s">
        <v>102</v>
      </c>
      <c r="BH231" t="s">
        <v>102</v>
      </c>
      <c r="BI231" t="s">
        <v>102</v>
      </c>
      <c r="BK231" t="s">
        <v>107</v>
      </c>
      <c r="BQ231">
        <v>5.88</v>
      </c>
      <c r="BR231">
        <v>0.88</v>
      </c>
      <c r="BS231">
        <v>5.88</v>
      </c>
      <c r="BT231">
        <v>5.88</v>
      </c>
      <c r="CA231" t="s">
        <v>1258</v>
      </c>
      <c r="CB231" t="s">
        <v>168</v>
      </c>
      <c r="CL231" t="s">
        <v>100</v>
      </c>
      <c r="CM231" t="s">
        <v>100</v>
      </c>
      <c r="CN231" t="s">
        <v>272</v>
      </c>
      <c r="CO231" s="1">
        <v>40793</v>
      </c>
      <c r="CP231" s="1">
        <v>43634</v>
      </c>
    </row>
    <row r="232" spans="1:94" x14ac:dyDescent="0.25">
      <c r="A232" t="s">
        <v>1259</v>
      </c>
      <c r="B232" t="str">
        <f xml:space="preserve"> "" &amp; 840254040052</f>
        <v>840254040052</v>
      </c>
      <c r="C232" t="s">
        <v>1030</v>
      </c>
      <c r="D232" t="s">
        <v>1260</v>
      </c>
      <c r="E232" t="s">
        <v>570</v>
      </c>
      <c r="F232" t="s">
        <v>98</v>
      </c>
      <c r="G232">
        <v>1</v>
      </c>
      <c r="H232">
        <v>1</v>
      </c>
      <c r="I232" t="s">
        <v>99</v>
      </c>
      <c r="J232" s="4">
        <v>750</v>
      </c>
      <c r="K232" s="4">
        <v>2250</v>
      </c>
      <c r="O232" t="s">
        <v>100</v>
      </c>
      <c r="P232" s="4">
        <v>1574.95</v>
      </c>
      <c r="S232">
        <v>23.25</v>
      </c>
      <c r="T232">
        <v>24</v>
      </c>
      <c r="U232">
        <v>24</v>
      </c>
      <c r="W232">
        <v>22.13</v>
      </c>
      <c r="X232">
        <v>1</v>
      </c>
      <c r="Y232">
        <v>24.5</v>
      </c>
      <c r="Z232">
        <v>26.5</v>
      </c>
      <c r="AA232">
        <v>26.5</v>
      </c>
      <c r="AB232">
        <v>9.9570000000000007</v>
      </c>
      <c r="AC232">
        <v>31.61</v>
      </c>
      <c r="AE232">
        <v>4</v>
      </c>
      <c r="AF232" t="s">
        <v>167</v>
      </c>
      <c r="AG232">
        <v>60</v>
      </c>
      <c r="AH232">
        <v>6</v>
      </c>
      <c r="AI232" t="s">
        <v>575</v>
      </c>
      <c r="AJ232">
        <v>60</v>
      </c>
      <c r="AK232" t="s">
        <v>102</v>
      </c>
      <c r="AM232" t="s">
        <v>102</v>
      </c>
      <c r="AN232" t="s">
        <v>100</v>
      </c>
      <c r="AO232" t="s">
        <v>102</v>
      </c>
      <c r="AP232" t="s">
        <v>103</v>
      </c>
      <c r="AQ232" t="s">
        <v>104</v>
      </c>
      <c r="AV232" t="s">
        <v>102</v>
      </c>
      <c r="AX232" t="s">
        <v>168</v>
      </c>
      <c r="AZ232" t="s">
        <v>454</v>
      </c>
      <c r="BF232" t="s">
        <v>1261</v>
      </c>
      <c r="BG232" t="s">
        <v>102</v>
      </c>
      <c r="BH232" t="s">
        <v>102</v>
      </c>
      <c r="BI232" t="s">
        <v>102</v>
      </c>
      <c r="BK232" t="s">
        <v>107</v>
      </c>
      <c r="BR232">
        <v>1</v>
      </c>
      <c r="BS232">
        <v>6</v>
      </c>
      <c r="BT232">
        <v>6</v>
      </c>
      <c r="CA232" t="s">
        <v>1262</v>
      </c>
      <c r="CB232" t="s">
        <v>168</v>
      </c>
      <c r="CL232" t="s">
        <v>100</v>
      </c>
      <c r="CM232" t="s">
        <v>100</v>
      </c>
      <c r="CN232" t="s">
        <v>272</v>
      </c>
      <c r="CO232" s="1">
        <v>40793</v>
      </c>
      <c r="CP232" s="1">
        <v>43634</v>
      </c>
    </row>
    <row r="233" spans="1:94" x14ac:dyDescent="0.25">
      <c r="A233" t="s">
        <v>1263</v>
      </c>
      <c r="B233" t="str">
        <f xml:space="preserve"> "" &amp; 840254048607</f>
        <v>840254048607</v>
      </c>
      <c r="C233" t="s">
        <v>1178</v>
      </c>
      <c r="D233" t="s">
        <v>1264</v>
      </c>
      <c r="E233" t="s">
        <v>1265</v>
      </c>
      <c r="F233" t="s">
        <v>371</v>
      </c>
      <c r="G233">
        <v>1</v>
      </c>
      <c r="H233">
        <v>1</v>
      </c>
      <c r="I233" t="s">
        <v>99</v>
      </c>
      <c r="J233" s="4">
        <v>175</v>
      </c>
      <c r="K233" s="4">
        <v>525</v>
      </c>
      <c r="O233" t="s">
        <v>100</v>
      </c>
      <c r="P233" s="4">
        <v>369.95</v>
      </c>
      <c r="S233">
        <v>14</v>
      </c>
      <c r="T233">
        <v>9</v>
      </c>
      <c r="U233">
        <v>9</v>
      </c>
      <c r="W233">
        <v>6.04</v>
      </c>
      <c r="X233">
        <v>1</v>
      </c>
      <c r="Y233">
        <v>17.75</v>
      </c>
      <c r="Z233">
        <v>11.5</v>
      </c>
      <c r="AA233">
        <v>11.5</v>
      </c>
      <c r="AB233">
        <v>1.3580000000000001</v>
      </c>
      <c r="AC233">
        <v>8.11</v>
      </c>
      <c r="AE233">
        <v>3</v>
      </c>
      <c r="AF233" t="s">
        <v>167</v>
      </c>
      <c r="AG233">
        <v>60</v>
      </c>
      <c r="AK233" t="s">
        <v>102</v>
      </c>
      <c r="AM233" t="s">
        <v>102</v>
      </c>
      <c r="AN233" t="s">
        <v>100</v>
      </c>
      <c r="AO233" t="s">
        <v>102</v>
      </c>
      <c r="AP233" t="s">
        <v>117</v>
      </c>
      <c r="AQ233" t="s">
        <v>104</v>
      </c>
      <c r="AV233" t="s">
        <v>102</v>
      </c>
      <c r="AX233" t="s">
        <v>225</v>
      </c>
      <c r="AZ233" t="s">
        <v>622</v>
      </c>
      <c r="BF233" t="s">
        <v>1266</v>
      </c>
      <c r="BG233" t="s">
        <v>102</v>
      </c>
      <c r="BH233" t="s">
        <v>102</v>
      </c>
      <c r="BI233" t="s">
        <v>102</v>
      </c>
      <c r="BK233" t="s">
        <v>107</v>
      </c>
      <c r="BR233">
        <v>1</v>
      </c>
      <c r="BS233">
        <v>5</v>
      </c>
      <c r="BT233">
        <v>5</v>
      </c>
      <c r="CA233" t="s">
        <v>1267</v>
      </c>
      <c r="CB233" t="s">
        <v>225</v>
      </c>
      <c r="CL233" t="s">
        <v>100</v>
      </c>
      <c r="CM233" t="s">
        <v>100</v>
      </c>
      <c r="CN233" t="s">
        <v>193</v>
      </c>
      <c r="CO233" s="1">
        <v>42908</v>
      </c>
      <c r="CP233" s="1">
        <v>43634</v>
      </c>
    </row>
    <row r="234" spans="1:94" x14ac:dyDescent="0.25">
      <c r="A234" t="s">
        <v>1268</v>
      </c>
      <c r="B234" t="str">
        <f xml:space="preserve"> "" &amp; 840254048614</f>
        <v>840254048614</v>
      </c>
      <c r="C234" t="s">
        <v>911</v>
      </c>
      <c r="D234" t="s">
        <v>1269</v>
      </c>
      <c r="E234" t="s">
        <v>1265</v>
      </c>
      <c r="F234" t="s">
        <v>371</v>
      </c>
      <c r="G234">
        <v>1</v>
      </c>
      <c r="H234">
        <v>1</v>
      </c>
      <c r="I234" t="s">
        <v>99</v>
      </c>
      <c r="J234" s="4">
        <v>235</v>
      </c>
      <c r="K234" s="4">
        <v>705</v>
      </c>
      <c r="O234" t="s">
        <v>100</v>
      </c>
      <c r="P234" s="4">
        <v>494.95</v>
      </c>
      <c r="S234">
        <v>18</v>
      </c>
      <c r="U234">
        <v>12</v>
      </c>
      <c r="W234">
        <v>7.56</v>
      </c>
      <c r="X234">
        <v>1</v>
      </c>
      <c r="Y234">
        <v>21.5</v>
      </c>
      <c r="Z234">
        <v>14.5</v>
      </c>
      <c r="AA234">
        <v>14.5</v>
      </c>
      <c r="AB234">
        <v>2.6160000000000001</v>
      </c>
      <c r="AC234">
        <v>10.87</v>
      </c>
      <c r="AE234">
        <v>4</v>
      </c>
      <c r="AF234" t="s">
        <v>167</v>
      </c>
      <c r="AG234">
        <v>60</v>
      </c>
      <c r="AK234" t="s">
        <v>102</v>
      </c>
      <c r="AM234" t="s">
        <v>102</v>
      </c>
      <c r="AN234" t="s">
        <v>100</v>
      </c>
      <c r="AO234" t="s">
        <v>102</v>
      </c>
      <c r="AP234" t="s">
        <v>117</v>
      </c>
      <c r="AQ234" t="s">
        <v>104</v>
      </c>
      <c r="AV234" t="s">
        <v>102</v>
      </c>
      <c r="AX234" t="s">
        <v>225</v>
      </c>
      <c r="AZ234" t="s">
        <v>622</v>
      </c>
      <c r="BF234" t="s">
        <v>1270</v>
      </c>
      <c r="BG234" t="s">
        <v>102</v>
      </c>
      <c r="BH234" t="s">
        <v>102</v>
      </c>
      <c r="BI234" t="s">
        <v>102</v>
      </c>
      <c r="BK234" t="s">
        <v>107</v>
      </c>
      <c r="BR234">
        <v>1</v>
      </c>
      <c r="BS234">
        <v>5</v>
      </c>
      <c r="BT234">
        <v>5</v>
      </c>
      <c r="CA234" t="s">
        <v>1271</v>
      </c>
      <c r="CB234" t="s">
        <v>225</v>
      </c>
      <c r="CL234" t="s">
        <v>100</v>
      </c>
      <c r="CM234" t="s">
        <v>100</v>
      </c>
      <c r="CN234" t="s">
        <v>193</v>
      </c>
      <c r="CO234" s="1">
        <v>42908</v>
      </c>
      <c r="CP234" s="1">
        <v>43634</v>
      </c>
    </row>
    <row r="235" spans="1:94" x14ac:dyDescent="0.25">
      <c r="A235" t="s">
        <v>1272</v>
      </c>
      <c r="B235" t="str">
        <f xml:space="preserve"> "" &amp; 840254047662</f>
        <v>840254047662</v>
      </c>
      <c r="C235" t="s">
        <v>1273</v>
      </c>
      <c r="D235" t="s">
        <v>1274</v>
      </c>
      <c r="E235" t="s">
        <v>1265</v>
      </c>
      <c r="F235" t="s">
        <v>710</v>
      </c>
      <c r="G235">
        <v>1</v>
      </c>
      <c r="H235">
        <v>1</v>
      </c>
      <c r="I235" t="s">
        <v>99</v>
      </c>
      <c r="J235" s="4">
        <v>140</v>
      </c>
      <c r="K235" s="4">
        <v>420</v>
      </c>
      <c r="O235" t="s">
        <v>100</v>
      </c>
      <c r="P235" s="4">
        <v>294.95</v>
      </c>
      <c r="S235">
        <v>7.75</v>
      </c>
      <c r="U235">
        <v>16</v>
      </c>
      <c r="W235">
        <v>6.64</v>
      </c>
      <c r="X235">
        <v>1</v>
      </c>
      <c r="Y235">
        <v>10.75</v>
      </c>
      <c r="Z235">
        <v>18.5</v>
      </c>
      <c r="AA235">
        <v>18.5</v>
      </c>
      <c r="AB235">
        <v>2.129</v>
      </c>
      <c r="AC235">
        <v>9.44</v>
      </c>
      <c r="AE235">
        <v>4</v>
      </c>
      <c r="AF235" t="s">
        <v>187</v>
      </c>
      <c r="AG235">
        <v>60</v>
      </c>
      <c r="AK235" t="s">
        <v>102</v>
      </c>
      <c r="AM235" t="s">
        <v>102</v>
      </c>
      <c r="AN235" t="s">
        <v>100</v>
      </c>
      <c r="AO235" t="s">
        <v>102</v>
      </c>
      <c r="AP235" t="s">
        <v>117</v>
      </c>
      <c r="AQ235" t="s">
        <v>104</v>
      </c>
      <c r="AV235" t="s">
        <v>102</v>
      </c>
      <c r="AX235" t="s">
        <v>225</v>
      </c>
      <c r="AZ235" t="s">
        <v>622</v>
      </c>
      <c r="BF235" t="s">
        <v>1275</v>
      </c>
      <c r="BG235" t="s">
        <v>102</v>
      </c>
      <c r="BH235" t="s">
        <v>102</v>
      </c>
      <c r="BI235" t="s">
        <v>102</v>
      </c>
      <c r="BK235" t="s">
        <v>191</v>
      </c>
      <c r="BR235">
        <v>1</v>
      </c>
      <c r="BS235">
        <v>5</v>
      </c>
      <c r="BT235">
        <v>5</v>
      </c>
      <c r="CA235" t="s">
        <v>1276</v>
      </c>
      <c r="CB235" t="s">
        <v>225</v>
      </c>
      <c r="CL235" t="s">
        <v>100</v>
      </c>
      <c r="CM235" t="s">
        <v>100</v>
      </c>
      <c r="CN235" t="s">
        <v>193</v>
      </c>
      <c r="CO235" s="1">
        <v>42827</v>
      </c>
      <c r="CP235" s="1">
        <v>43634</v>
      </c>
    </row>
    <row r="236" spans="1:94" x14ac:dyDescent="0.25">
      <c r="A236" t="s">
        <v>1277</v>
      </c>
      <c r="B236" t="str">
        <f xml:space="preserve"> "" &amp; 840254047679</f>
        <v>840254047679</v>
      </c>
      <c r="C236" t="s">
        <v>911</v>
      </c>
      <c r="D236" t="s">
        <v>1269</v>
      </c>
      <c r="E236" t="s">
        <v>1265</v>
      </c>
      <c r="F236" t="s">
        <v>371</v>
      </c>
      <c r="G236">
        <v>1</v>
      </c>
      <c r="H236">
        <v>1</v>
      </c>
      <c r="I236" t="s">
        <v>99</v>
      </c>
      <c r="J236" s="4">
        <v>155</v>
      </c>
      <c r="K236" s="4">
        <v>465</v>
      </c>
      <c r="O236" t="s">
        <v>100</v>
      </c>
      <c r="P236" s="4">
        <v>329.95</v>
      </c>
      <c r="S236">
        <v>11</v>
      </c>
      <c r="U236">
        <v>18</v>
      </c>
      <c r="W236">
        <v>8.86</v>
      </c>
      <c r="X236">
        <v>1</v>
      </c>
      <c r="Y236">
        <v>14</v>
      </c>
      <c r="Z236">
        <v>20.5</v>
      </c>
      <c r="AA236">
        <v>20.5</v>
      </c>
      <c r="AB236">
        <v>3.4049999999999998</v>
      </c>
      <c r="AC236">
        <v>12.43</v>
      </c>
      <c r="AE236">
        <v>4</v>
      </c>
      <c r="AF236" t="s">
        <v>187</v>
      </c>
      <c r="AG236">
        <v>60</v>
      </c>
      <c r="AK236" t="s">
        <v>102</v>
      </c>
      <c r="AM236" t="s">
        <v>102</v>
      </c>
      <c r="AN236" t="s">
        <v>100</v>
      </c>
      <c r="AO236" t="s">
        <v>102</v>
      </c>
      <c r="AP236" t="s">
        <v>117</v>
      </c>
      <c r="AQ236" t="s">
        <v>104</v>
      </c>
      <c r="AV236" t="s">
        <v>102</v>
      </c>
      <c r="AX236" t="s">
        <v>225</v>
      </c>
      <c r="AZ236" t="s">
        <v>622</v>
      </c>
      <c r="BF236" t="s">
        <v>1278</v>
      </c>
      <c r="BG236" t="s">
        <v>102</v>
      </c>
      <c r="BH236" t="s">
        <v>102</v>
      </c>
      <c r="BI236" t="s">
        <v>102</v>
      </c>
      <c r="BK236" t="s">
        <v>107</v>
      </c>
      <c r="BR236">
        <v>1</v>
      </c>
      <c r="BS236">
        <v>5</v>
      </c>
      <c r="BT236">
        <v>5</v>
      </c>
      <c r="CA236" t="s">
        <v>1279</v>
      </c>
      <c r="CB236" t="s">
        <v>225</v>
      </c>
      <c r="CL236" t="s">
        <v>100</v>
      </c>
      <c r="CM236" t="s">
        <v>100</v>
      </c>
      <c r="CN236" t="s">
        <v>193</v>
      </c>
      <c r="CO236" s="1">
        <v>42762</v>
      </c>
      <c r="CP236" s="1">
        <v>43634</v>
      </c>
    </row>
    <row r="237" spans="1:94" x14ac:dyDescent="0.25">
      <c r="A237" t="s">
        <v>1280</v>
      </c>
      <c r="B237" t="str">
        <f xml:space="preserve"> "" &amp; 840254047631</f>
        <v>840254047631</v>
      </c>
      <c r="C237" t="s">
        <v>911</v>
      </c>
      <c r="D237" t="s">
        <v>1269</v>
      </c>
      <c r="E237" t="s">
        <v>1265</v>
      </c>
      <c r="F237" t="s">
        <v>371</v>
      </c>
      <c r="G237">
        <v>1</v>
      </c>
      <c r="H237">
        <v>1</v>
      </c>
      <c r="I237" t="s">
        <v>99</v>
      </c>
      <c r="J237" s="4">
        <v>215</v>
      </c>
      <c r="K237" s="4">
        <v>645</v>
      </c>
      <c r="O237" t="s">
        <v>100</v>
      </c>
      <c r="P237" s="4">
        <v>454.95</v>
      </c>
      <c r="S237">
        <v>25.5</v>
      </c>
      <c r="U237">
        <v>16.5</v>
      </c>
      <c r="W237">
        <v>12.46</v>
      </c>
      <c r="X237">
        <v>1</v>
      </c>
      <c r="Y237">
        <v>28.75</v>
      </c>
      <c r="Z237">
        <v>18.88</v>
      </c>
      <c r="AA237">
        <v>18.88</v>
      </c>
      <c r="AB237">
        <v>5.931</v>
      </c>
      <c r="AC237">
        <v>18.14</v>
      </c>
      <c r="AE237">
        <v>4</v>
      </c>
      <c r="AF237" t="s">
        <v>187</v>
      </c>
      <c r="AG237">
        <v>60</v>
      </c>
      <c r="AK237" t="s">
        <v>102</v>
      </c>
      <c r="AM237" t="s">
        <v>102</v>
      </c>
      <c r="AN237" t="s">
        <v>100</v>
      </c>
      <c r="AO237" t="s">
        <v>102</v>
      </c>
      <c r="AP237" t="s">
        <v>117</v>
      </c>
      <c r="AQ237" t="s">
        <v>104</v>
      </c>
      <c r="AV237" t="s">
        <v>102</v>
      </c>
      <c r="AX237" t="s">
        <v>225</v>
      </c>
      <c r="AZ237" t="s">
        <v>622</v>
      </c>
      <c r="BF237" t="s">
        <v>1281</v>
      </c>
      <c r="BG237" t="s">
        <v>102</v>
      </c>
      <c r="BH237" t="s">
        <v>102</v>
      </c>
      <c r="BI237" t="s">
        <v>102</v>
      </c>
      <c r="BK237" t="s">
        <v>107</v>
      </c>
      <c r="BR237">
        <v>1</v>
      </c>
      <c r="BS237">
        <v>5</v>
      </c>
      <c r="BT237">
        <v>5</v>
      </c>
      <c r="CA237" t="s">
        <v>1282</v>
      </c>
      <c r="CB237" t="s">
        <v>225</v>
      </c>
      <c r="CL237" t="s">
        <v>100</v>
      </c>
      <c r="CM237" t="s">
        <v>100</v>
      </c>
      <c r="CN237" t="s">
        <v>193</v>
      </c>
      <c r="CO237" s="1">
        <v>42762</v>
      </c>
      <c r="CP237" s="1">
        <v>43634</v>
      </c>
    </row>
    <row r="238" spans="1:94" x14ac:dyDescent="0.25">
      <c r="A238" t="s">
        <v>1283</v>
      </c>
      <c r="B238" t="str">
        <f xml:space="preserve"> "" &amp; 840254047655</f>
        <v>840254047655</v>
      </c>
      <c r="C238" t="s">
        <v>390</v>
      </c>
      <c r="D238" t="s">
        <v>1284</v>
      </c>
      <c r="E238" t="s">
        <v>1265</v>
      </c>
      <c r="F238" t="s">
        <v>371</v>
      </c>
      <c r="G238">
        <v>1</v>
      </c>
      <c r="H238">
        <v>1</v>
      </c>
      <c r="I238" t="s">
        <v>99</v>
      </c>
      <c r="J238" s="4">
        <v>200</v>
      </c>
      <c r="K238" s="4">
        <v>600</v>
      </c>
      <c r="O238" t="s">
        <v>100</v>
      </c>
      <c r="P238" s="4">
        <v>419.95</v>
      </c>
      <c r="S238">
        <v>11</v>
      </c>
      <c r="U238">
        <v>22</v>
      </c>
      <c r="W238">
        <v>10.36</v>
      </c>
      <c r="X238">
        <v>1</v>
      </c>
      <c r="Y238">
        <v>14</v>
      </c>
      <c r="Z238">
        <v>24.5</v>
      </c>
      <c r="AA238">
        <v>24.5</v>
      </c>
      <c r="AB238">
        <v>4.8630000000000004</v>
      </c>
      <c r="AC238">
        <v>16.27</v>
      </c>
      <c r="AE238">
        <v>6</v>
      </c>
      <c r="AF238" t="s">
        <v>187</v>
      </c>
      <c r="AG238">
        <v>60</v>
      </c>
      <c r="AK238" t="s">
        <v>102</v>
      </c>
      <c r="AM238" t="s">
        <v>102</v>
      </c>
      <c r="AN238" t="s">
        <v>100</v>
      </c>
      <c r="AO238" t="s">
        <v>102</v>
      </c>
      <c r="AP238" t="s">
        <v>117</v>
      </c>
      <c r="AQ238" t="s">
        <v>104</v>
      </c>
      <c r="AV238" t="s">
        <v>102</v>
      </c>
      <c r="AX238" t="s">
        <v>225</v>
      </c>
      <c r="AZ238" t="s">
        <v>622</v>
      </c>
      <c r="BF238" t="s">
        <v>1285</v>
      </c>
      <c r="BG238" t="s">
        <v>102</v>
      </c>
      <c r="BH238" t="s">
        <v>102</v>
      </c>
      <c r="BI238" t="s">
        <v>102</v>
      </c>
      <c r="BK238" t="s">
        <v>107</v>
      </c>
      <c r="BR238">
        <v>1</v>
      </c>
      <c r="BS238">
        <v>5</v>
      </c>
      <c r="BT238">
        <v>5</v>
      </c>
      <c r="CA238" t="s">
        <v>1286</v>
      </c>
      <c r="CB238" t="s">
        <v>225</v>
      </c>
      <c r="CL238" t="s">
        <v>100</v>
      </c>
      <c r="CM238" t="s">
        <v>100</v>
      </c>
      <c r="CN238" t="s">
        <v>193</v>
      </c>
      <c r="CO238" s="1">
        <v>42762</v>
      </c>
      <c r="CP238" s="1">
        <v>43634</v>
      </c>
    </row>
    <row r="239" spans="1:94" x14ac:dyDescent="0.25">
      <c r="A239" t="s">
        <v>1287</v>
      </c>
      <c r="B239" t="str">
        <f xml:space="preserve"> "" &amp; 840254047648</f>
        <v>840254047648</v>
      </c>
      <c r="C239" t="s">
        <v>1288</v>
      </c>
      <c r="D239" t="s">
        <v>1289</v>
      </c>
      <c r="E239" t="s">
        <v>1265</v>
      </c>
      <c r="F239" t="s">
        <v>371</v>
      </c>
      <c r="G239">
        <v>1</v>
      </c>
      <c r="H239">
        <v>1</v>
      </c>
      <c r="I239" t="s">
        <v>99</v>
      </c>
      <c r="J239" s="4">
        <v>250</v>
      </c>
      <c r="K239" s="4">
        <v>750</v>
      </c>
      <c r="O239" t="s">
        <v>100</v>
      </c>
      <c r="P239" s="4">
        <v>524.95000000000005</v>
      </c>
      <c r="S239">
        <v>13.5</v>
      </c>
      <c r="U239">
        <v>26</v>
      </c>
      <c r="W239">
        <v>12.92</v>
      </c>
      <c r="X239">
        <v>1</v>
      </c>
      <c r="Y239">
        <v>16.75</v>
      </c>
      <c r="Z239">
        <v>28.75</v>
      </c>
      <c r="AA239">
        <v>28.75</v>
      </c>
      <c r="AB239">
        <v>8.0120000000000005</v>
      </c>
      <c r="AC239">
        <v>20.329999999999998</v>
      </c>
      <c r="AE239">
        <v>6</v>
      </c>
      <c r="AF239" t="s">
        <v>187</v>
      </c>
      <c r="AG239">
        <v>60</v>
      </c>
      <c r="AK239" t="s">
        <v>102</v>
      </c>
      <c r="AM239" t="s">
        <v>102</v>
      </c>
      <c r="AN239" t="s">
        <v>100</v>
      </c>
      <c r="AO239" t="s">
        <v>102</v>
      </c>
      <c r="AP239" t="s">
        <v>117</v>
      </c>
      <c r="AQ239" t="s">
        <v>104</v>
      </c>
      <c r="AV239" t="s">
        <v>102</v>
      </c>
      <c r="AX239" t="s">
        <v>225</v>
      </c>
      <c r="AZ239" t="s">
        <v>622</v>
      </c>
      <c r="BF239" t="s">
        <v>1290</v>
      </c>
      <c r="BG239" t="s">
        <v>102</v>
      </c>
      <c r="BH239" t="s">
        <v>102</v>
      </c>
      <c r="BI239" t="s">
        <v>102</v>
      </c>
      <c r="BK239" t="s">
        <v>107</v>
      </c>
      <c r="BR239">
        <v>1</v>
      </c>
      <c r="BS239">
        <v>5</v>
      </c>
      <c r="BT239">
        <v>5</v>
      </c>
      <c r="CA239" t="s">
        <v>1291</v>
      </c>
      <c r="CB239" t="s">
        <v>225</v>
      </c>
      <c r="CL239" t="s">
        <v>100</v>
      </c>
      <c r="CM239" t="s">
        <v>100</v>
      </c>
      <c r="CN239" t="s">
        <v>193</v>
      </c>
      <c r="CO239" s="1">
        <v>42762</v>
      </c>
      <c r="CP239" s="1">
        <v>43634</v>
      </c>
    </row>
    <row r="240" spans="1:94" x14ac:dyDescent="0.25">
      <c r="A240" t="s">
        <v>1292</v>
      </c>
      <c r="B240" t="str">
        <f xml:space="preserve"> "" &amp; 840254047686</f>
        <v>840254047686</v>
      </c>
      <c r="C240" t="s">
        <v>1293</v>
      </c>
      <c r="D240" t="s">
        <v>1294</v>
      </c>
      <c r="E240" t="s">
        <v>1265</v>
      </c>
      <c r="F240" t="s">
        <v>828</v>
      </c>
      <c r="G240">
        <v>1</v>
      </c>
      <c r="H240">
        <v>1</v>
      </c>
      <c r="I240" t="s">
        <v>99</v>
      </c>
      <c r="J240" s="4">
        <v>395</v>
      </c>
      <c r="K240" s="4">
        <v>1185</v>
      </c>
      <c r="O240" t="s">
        <v>100</v>
      </c>
      <c r="P240" s="4">
        <v>829.95</v>
      </c>
      <c r="S240">
        <v>11</v>
      </c>
      <c r="T240">
        <v>40.25</v>
      </c>
      <c r="U240">
        <v>14</v>
      </c>
      <c r="W240">
        <v>17.57</v>
      </c>
      <c r="X240">
        <v>1</v>
      </c>
      <c r="Y240">
        <v>14.25</v>
      </c>
      <c r="Z240">
        <v>43.25</v>
      </c>
      <c r="AA240">
        <v>16.5</v>
      </c>
      <c r="AB240">
        <v>5.8849999999999998</v>
      </c>
      <c r="AC240">
        <v>24.05</v>
      </c>
      <c r="AE240">
        <v>10</v>
      </c>
      <c r="AF240" t="s">
        <v>187</v>
      </c>
      <c r="AG240">
        <v>60</v>
      </c>
      <c r="AK240" t="s">
        <v>102</v>
      </c>
      <c r="AM240" t="s">
        <v>102</v>
      </c>
      <c r="AN240" t="s">
        <v>100</v>
      </c>
      <c r="AO240" t="s">
        <v>102</v>
      </c>
      <c r="AP240" t="s">
        <v>117</v>
      </c>
      <c r="AQ240" t="s">
        <v>104</v>
      </c>
      <c r="AV240" t="s">
        <v>102</v>
      </c>
      <c r="AX240" t="s">
        <v>225</v>
      </c>
      <c r="AZ240" t="s">
        <v>622</v>
      </c>
      <c r="BF240" t="s">
        <v>1295</v>
      </c>
      <c r="BG240" t="s">
        <v>102</v>
      </c>
      <c r="BH240" t="s">
        <v>102</v>
      </c>
      <c r="BI240" t="s">
        <v>102</v>
      </c>
      <c r="BK240" t="s">
        <v>107</v>
      </c>
      <c r="BR240">
        <v>0.63</v>
      </c>
      <c r="BS240">
        <v>9.75</v>
      </c>
      <c r="BT240">
        <v>5</v>
      </c>
      <c r="CA240" t="s">
        <v>1296</v>
      </c>
      <c r="CB240" t="s">
        <v>225</v>
      </c>
      <c r="CL240" t="s">
        <v>100</v>
      </c>
      <c r="CM240" t="s">
        <v>100</v>
      </c>
      <c r="CN240" t="s">
        <v>193</v>
      </c>
      <c r="CO240" s="1">
        <v>42762</v>
      </c>
      <c r="CP240" s="1">
        <v>43634</v>
      </c>
    </row>
    <row r="241" spans="1:94" x14ac:dyDescent="0.25">
      <c r="A241" t="s">
        <v>1297</v>
      </c>
      <c r="B241" t="str">
        <f xml:space="preserve"> "" &amp; 840254038196</f>
        <v>840254038196</v>
      </c>
      <c r="C241" t="s">
        <v>864</v>
      </c>
      <c r="D241" t="s">
        <v>1298</v>
      </c>
      <c r="E241" t="s">
        <v>441</v>
      </c>
      <c r="F241" t="s">
        <v>828</v>
      </c>
      <c r="G241">
        <v>1</v>
      </c>
      <c r="H241">
        <v>1</v>
      </c>
      <c r="I241" t="s">
        <v>99</v>
      </c>
      <c r="J241" s="4">
        <v>450</v>
      </c>
      <c r="K241" s="4">
        <v>1350</v>
      </c>
      <c r="O241" t="s">
        <v>100</v>
      </c>
      <c r="P241" s="4">
        <v>944.95</v>
      </c>
      <c r="S241">
        <v>29</v>
      </c>
      <c r="T241">
        <v>50</v>
      </c>
      <c r="U241">
        <v>15</v>
      </c>
      <c r="W241">
        <v>18.25</v>
      </c>
      <c r="X241">
        <v>2</v>
      </c>
      <c r="AB241">
        <v>11.711</v>
      </c>
      <c r="AC241">
        <v>27.56</v>
      </c>
      <c r="AE241">
        <v>6</v>
      </c>
      <c r="AF241" t="s">
        <v>167</v>
      </c>
      <c r="AG241">
        <v>60</v>
      </c>
      <c r="AK241" t="s">
        <v>102</v>
      </c>
      <c r="AM241" t="s">
        <v>102</v>
      </c>
      <c r="AN241" t="s">
        <v>100</v>
      </c>
      <c r="AO241" t="s">
        <v>102</v>
      </c>
      <c r="AP241" t="s">
        <v>103</v>
      </c>
      <c r="AQ241" t="s">
        <v>104</v>
      </c>
      <c r="AV241" t="s">
        <v>102</v>
      </c>
      <c r="AX241" t="s">
        <v>168</v>
      </c>
      <c r="AZ241" t="s">
        <v>163</v>
      </c>
      <c r="BB241" t="s">
        <v>442</v>
      </c>
      <c r="BC241" t="s">
        <v>443</v>
      </c>
      <c r="BF241" t="s">
        <v>1299</v>
      </c>
      <c r="BG241" t="s">
        <v>102</v>
      </c>
      <c r="BH241" t="s">
        <v>102</v>
      </c>
      <c r="BI241" t="s">
        <v>102</v>
      </c>
      <c r="BK241" t="s">
        <v>107</v>
      </c>
      <c r="CA241" t="s">
        <v>1300</v>
      </c>
      <c r="CB241" t="s">
        <v>168</v>
      </c>
      <c r="CL241" t="s">
        <v>102</v>
      </c>
      <c r="CM241" t="s">
        <v>102</v>
      </c>
      <c r="CN241" t="s">
        <v>474</v>
      </c>
      <c r="CO241" s="1">
        <v>40471</v>
      </c>
      <c r="CP241" s="1">
        <v>43634</v>
      </c>
    </row>
    <row r="242" spans="1:94" x14ac:dyDescent="0.25">
      <c r="A242" t="s">
        <v>1302</v>
      </c>
      <c r="B242" t="str">
        <f xml:space="preserve"> "" &amp; 840254040236</f>
        <v>840254040236</v>
      </c>
      <c r="C242" t="s">
        <v>740</v>
      </c>
      <c r="D242" t="s">
        <v>1303</v>
      </c>
      <c r="E242" t="s">
        <v>441</v>
      </c>
      <c r="F242" t="s">
        <v>98</v>
      </c>
      <c r="G242">
        <v>1</v>
      </c>
      <c r="H242">
        <v>1</v>
      </c>
      <c r="I242" t="s">
        <v>99</v>
      </c>
      <c r="J242" s="4">
        <v>545</v>
      </c>
      <c r="K242" s="4">
        <v>1635</v>
      </c>
      <c r="O242" t="s">
        <v>100</v>
      </c>
      <c r="P242" s="4">
        <v>1144.95</v>
      </c>
      <c r="S242">
        <v>19</v>
      </c>
      <c r="U242">
        <v>30</v>
      </c>
      <c r="W242">
        <v>23.37</v>
      </c>
      <c r="X242">
        <v>1</v>
      </c>
      <c r="Y242">
        <v>13</v>
      </c>
      <c r="Z242">
        <v>36.5</v>
      </c>
      <c r="AA242">
        <v>34.75</v>
      </c>
      <c r="AB242">
        <v>9.5419999999999998</v>
      </c>
      <c r="AC242">
        <v>31.97</v>
      </c>
      <c r="AE242">
        <v>6</v>
      </c>
      <c r="AF242" t="s">
        <v>161</v>
      </c>
      <c r="AG242">
        <v>60</v>
      </c>
      <c r="AK242" t="s">
        <v>102</v>
      </c>
      <c r="AM242" t="s">
        <v>102</v>
      </c>
      <c r="AN242" t="s">
        <v>100</v>
      </c>
      <c r="AO242" t="s">
        <v>102</v>
      </c>
      <c r="AP242" t="s">
        <v>103</v>
      </c>
      <c r="AQ242" t="s">
        <v>104</v>
      </c>
      <c r="AV242" t="s">
        <v>102</v>
      </c>
      <c r="AX242" t="s">
        <v>168</v>
      </c>
      <c r="AZ242" t="s">
        <v>163</v>
      </c>
      <c r="BB242" t="s">
        <v>480</v>
      </c>
      <c r="BC242" t="s">
        <v>1304</v>
      </c>
      <c r="BF242" t="s">
        <v>1305</v>
      </c>
      <c r="BG242" t="s">
        <v>102</v>
      </c>
      <c r="BH242" t="s">
        <v>102</v>
      </c>
      <c r="BI242" t="s">
        <v>102</v>
      </c>
      <c r="BK242" t="s">
        <v>107</v>
      </c>
      <c r="CA242" t="s">
        <v>1306</v>
      </c>
      <c r="CB242" t="s">
        <v>168</v>
      </c>
      <c r="CL242" t="s">
        <v>102</v>
      </c>
      <c r="CM242" t="s">
        <v>102</v>
      </c>
      <c r="CN242" t="s">
        <v>1129</v>
      </c>
      <c r="CO242" s="1">
        <v>40980</v>
      </c>
      <c r="CP242" s="1">
        <v>43634</v>
      </c>
    </row>
    <row r="243" spans="1:94" x14ac:dyDescent="0.25">
      <c r="A243" t="s">
        <v>1307</v>
      </c>
      <c r="B243" t="str">
        <f xml:space="preserve"> "" &amp; 840254013681</f>
        <v>840254013681</v>
      </c>
      <c r="C243" t="s">
        <v>290</v>
      </c>
      <c r="D243" t="s">
        <v>290</v>
      </c>
      <c r="F243" t="s">
        <v>179</v>
      </c>
      <c r="G243">
        <v>1</v>
      </c>
      <c r="H243">
        <v>1</v>
      </c>
      <c r="I243" t="s">
        <v>99</v>
      </c>
      <c r="J243" s="4">
        <v>100</v>
      </c>
      <c r="K243" s="4">
        <v>300</v>
      </c>
      <c r="O243" t="s">
        <v>100</v>
      </c>
      <c r="P243" s="4">
        <v>209.95</v>
      </c>
      <c r="S243">
        <v>15</v>
      </c>
      <c r="T243">
        <v>15.75</v>
      </c>
      <c r="U243">
        <v>5</v>
      </c>
      <c r="V243">
        <v>6</v>
      </c>
      <c r="W243">
        <v>2.2000000000000002</v>
      </c>
      <c r="X243">
        <v>1</v>
      </c>
      <c r="Y243">
        <v>6</v>
      </c>
      <c r="Z243">
        <v>15.75</v>
      </c>
      <c r="AA243">
        <v>8</v>
      </c>
      <c r="AB243">
        <v>0.438</v>
      </c>
      <c r="AC243">
        <v>13.23</v>
      </c>
      <c r="AE243">
        <v>1</v>
      </c>
      <c r="AF243" t="s">
        <v>187</v>
      </c>
      <c r="AG243">
        <v>60</v>
      </c>
      <c r="AK243" t="s">
        <v>102</v>
      </c>
      <c r="AL243">
        <v>1</v>
      </c>
      <c r="AM243" t="s">
        <v>102</v>
      </c>
      <c r="AN243" t="s">
        <v>102</v>
      </c>
      <c r="AO243" t="s">
        <v>100</v>
      </c>
      <c r="AP243" t="s">
        <v>117</v>
      </c>
      <c r="AQ243" t="s">
        <v>104</v>
      </c>
      <c r="AV243" t="s">
        <v>102</v>
      </c>
      <c r="AX243" t="s">
        <v>1308</v>
      </c>
      <c r="AZ243" t="s">
        <v>163</v>
      </c>
      <c r="BF243" t="s">
        <v>1309</v>
      </c>
      <c r="BG243" t="s">
        <v>102</v>
      </c>
      <c r="BH243" t="s">
        <v>102</v>
      </c>
      <c r="BI243" t="s">
        <v>102</v>
      </c>
      <c r="BK243" t="s">
        <v>107</v>
      </c>
      <c r="BL243" t="s">
        <v>180</v>
      </c>
      <c r="CA243" t="s">
        <v>1307</v>
      </c>
      <c r="CB243" t="s">
        <v>1308</v>
      </c>
      <c r="CL243" t="s">
        <v>102</v>
      </c>
      <c r="CM243" t="s">
        <v>102</v>
      </c>
      <c r="CN243" t="s">
        <v>181</v>
      </c>
      <c r="CO243" s="1">
        <v>39295</v>
      </c>
      <c r="CP243" s="1">
        <v>43634</v>
      </c>
    </row>
    <row r="244" spans="1:94" x14ac:dyDescent="0.25">
      <c r="A244" t="s">
        <v>1310</v>
      </c>
      <c r="B244" t="str">
        <f xml:space="preserve"> "" &amp; 840254013728</f>
        <v>840254013728</v>
      </c>
      <c r="C244" t="s">
        <v>178</v>
      </c>
      <c r="D244" t="s">
        <v>178</v>
      </c>
      <c r="F244" t="s">
        <v>179</v>
      </c>
      <c r="G244">
        <v>1</v>
      </c>
      <c r="H244">
        <v>1</v>
      </c>
      <c r="I244" t="s">
        <v>99</v>
      </c>
      <c r="J244" s="4">
        <v>112</v>
      </c>
      <c r="K244" s="4">
        <v>336</v>
      </c>
      <c r="O244" t="s">
        <v>100</v>
      </c>
      <c r="P244" s="4">
        <v>234.95</v>
      </c>
      <c r="S244">
        <v>13.5</v>
      </c>
      <c r="T244">
        <v>15.5</v>
      </c>
      <c r="U244">
        <v>9.5</v>
      </c>
      <c r="V244">
        <v>4.25</v>
      </c>
      <c r="W244">
        <v>3.57</v>
      </c>
      <c r="X244">
        <v>1</v>
      </c>
      <c r="Y244">
        <v>6.25</v>
      </c>
      <c r="Z244">
        <v>15.5</v>
      </c>
      <c r="AA244">
        <v>11</v>
      </c>
      <c r="AB244">
        <v>0.61699999999999999</v>
      </c>
      <c r="AC244">
        <v>4.92</v>
      </c>
      <c r="AE244">
        <v>2</v>
      </c>
      <c r="AF244" t="s">
        <v>365</v>
      </c>
      <c r="AG244">
        <v>60</v>
      </c>
      <c r="AK244" t="s">
        <v>102</v>
      </c>
      <c r="AL244">
        <v>2</v>
      </c>
      <c r="AM244" t="s">
        <v>102</v>
      </c>
      <c r="AN244" t="s">
        <v>100</v>
      </c>
      <c r="AO244" t="s">
        <v>102</v>
      </c>
      <c r="AP244" t="s">
        <v>117</v>
      </c>
      <c r="AQ244" t="s">
        <v>104</v>
      </c>
      <c r="AV244" t="s">
        <v>102</v>
      </c>
      <c r="AX244" t="s">
        <v>1308</v>
      </c>
      <c r="AZ244" t="s">
        <v>163</v>
      </c>
      <c r="BF244" t="s">
        <v>1311</v>
      </c>
      <c r="BG244" t="s">
        <v>102</v>
      </c>
      <c r="BH244" t="s">
        <v>100</v>
      </c>
      <c r="BI244" t="s">
        <v>102</v>
      </c>
      <c r="BK244" t="s">
        <v>107</v>
      </c>
      <c r="BL244" t="s">
        <v>180</v>
      </c>
      <c r="BR244">
        <v>4.38</v>
      </c>
      <c r="BT244">
        <v>4.38</v>
      </c>
      <c r="CA244" t="s">
        <v>1310</v>
      </c>
      <c r="CB244" t="s">
        <v>1308</v>
      </c>
      <c r="CL244" t="s">
        <v>102</v>
      </c>
      <c r="CM244" t="s">
        <v>102</v>
      </c>
      <c r="CN244" t="s">
        <v>181</v>
      </c>
      <c r="CO244" s="1">
        <v>38141</v>
      </c>
      <c r="CP244" s="1">
        <v>43634</v>
      </c>
    </row>
    <row r="245" spans="1:94" x14ac:dyDescent="0.25">
      <c r="A245" t="s">
        <v>1312</v>
      </c>
      <c r="B245" t="str">
        <f xml:space="preserve"> "" &amp; 840254013742</f>
        <v>840254013742</v>
      </c>
      <c r="C245" t="s">
        <v>230</v>
      </c>
      <c r="D245" t="s">
        <v>230</v>
      </c>
      <c r="F245" t="s">
        <v>179</v>
      </c>
      <c r="G245">
        <v>1</v>
      </c>
      <c r="H245">
        <v>1</v>
      </c>
      <c r="I245" t="s">
        <v>99</v>
      </c>
      <c r="J245" s="4">
        <v>175</v>
      </c>
      <c r="K245" s="4">
        <v>525</v>
      </c>
      <c r="O245" t="s">
        <v>100</v>
      </c>
      <c r="P245" s="4">
        <v>369.95</v>
      </c>
      <c r="S245">
        <v>25.5</v>
      </c>
      <c r="U245">
        <v>11</v>
      </c>
      <c r="V245">
        <v>7</v>
      </c>
      <c r="W245">
        <v>4.96</v>
      </c>
      <c r="X245">
        <v>1</v>
      </c>
      <c r="Y245">
        <v>8.5</v>
      </c>
      <c r="Z245">
        <v>27.25</v>
      </c>
      <c r="AA245">
        <v>13.5</v>
      </c>
      <c r="AB245">
        <v>1.81</v>
      </c>
      <c r="AC245">
        <v>8.3800000000000008</v>
      </c>
      <c r="AE245">
        <v>3</v>
      </c>
      <c r="AF245" t="s">
        <v>187</v>
      </c>
      <c r="AG245">
        <v>60</v>
      </c>
      <c r="AK245" t="s">
        <v>102</v>
      </c>
      <c r="AL245">
        <v>3</v>
      </c>
      <c r="AM245" t="s">
        <v>102</v>
      </c>
      <c r="AN245" t="s">
        <v>102</v>
      </c>
      <c r="AO245" t="s">
        <v>100</v>
      </c>
      <c r="AP245" t="s">
        <v>117</v>
      </c>
      <c r="AQ245" t="s">
        <v>104</v>
      </c>
      <c r="AV245" t="s">
        <v>102</v>
      </c>
      <c r="AX245" t="s">
        <v>1308</v>
      </c>
      <c r="AZ245" t="s">
        <v>163</v>
      </c>
      <c r="BF245" t="s">
        <v>1313</v>
      </c>
      <c r="BG245" t="s">
        <v>102</v>
      </c>
      <c r="BH245" t="s">
        <v>102</v>
      </c>
      <c r="BI245" t="s">
        <v>102</v>
      </c>
      <c r="BK245" t="s">
        <v>107</v>
      </c>
      <c r="BL245" t="s">
        <v>180</v>
      </c>
      <c r="CA245" t="s">
        <v>1312</v>
      </c>
      <c r="CB245" t="s">
        <v>1308</v>
      </c>
      <c r="CL245" t="s">
        <v>102</v>
      </c>
      <c r="CM245" t="s">
        <v>102</v>
      </c>
      <c r="CN245" t="s">
        <v>1314</v>
      </c>
      <c r="CO245" s="1">
        <v>39973</v>
      </c>
      <c r="CP245" s="1">
        <v>43634</v>
      </c>
    </row>
    <row r="246" spans="1:94" x14ac:dyDescent="0.25">
      <c r="A246" t="s">
        <v>1315</v>
      </c>
      <c r="B246" t="str">
        <f xml:space="preserve"> "" &amp; 840254013759</f>
        <v>840254013759</v>
      </c>
      <c r="C246" t="s">
        <v>178</v>
      </c>
      <c r="D246" t="s">
        <v>178</v>
      </c>
      <c r="F246" t="s">
        <v>179</v>
      </c>
      <c r="G246">
        <v>1</v>
      </c>
      <c r="H246">
        <v>1</v>
      </c>
      <c r="I246" t="s">
        <v>99</v>
      </c>
      <c r="J246" s="4">
        <v>145</v>
      </c>
      <c r="K246" s="4">
        <v>435</v>
      </c>
      <c r="O246" t="s">
        <v>100</v>
      </c>
      <c r="P246" s="4">
        <v>304.95</v>
      </c>
      <c r="S246">
        <v>24.25</v>
      </c>
      <c r="U246">
        <v>9.25</v>
      </c>
      <c r="V246">
        <v>4.25</v>
      </c>
      <c r="W246">
        <v>4.1900000000000004</v>
      </c>
      <c r="X246">
        <v>1</v>
      </c>
      <c r="Y246">
        <v>6.75</v>
      </c>
      <c r="Z246">
        <v>27.25</v>
      </c>
      <c r="AA246">
        <v>12</v>
      </c>
      <c r="AB246">
        <v>1.2769999999999999</v>
      </c>
      <c r="AC246">
        <v>6.39</v>
      </c>
      <c r="AE246">
        <v>2</v>
      </c>
      <c r="AF246" t="s">
        <v>176</v>
      </c>
      <c r="AG246">
        <v>60</v>
      </c>
      <c r="AK246" t="s">
        <v>102</v>
      </c>
      <c r="AL246">
        <v>2</v>
      </c>
      <c r="AM246" t="s">
        <v>102</v>
      </c>
      <c r="AN246" t="s">
        <v>100</v>
      </c>
      <c r="AO246" t="s">
        <v>102</v>
      </c>
      <c r="AP246" t="s">
        <v>117</v>
      </c>
      <c r="AQ246" t="s">
        <v>104</v>
      </c>
      <c r="AV246" t="s">
        <v>102</v>
      </c>
      <c r="AX246" t="s">
        <v>1308</v>
      </c>
      <c r="AZ246" t="s">
        <v>163</v>
      </c>
      <c r="BF246" t="s">
        <v>1316</v>
      </c>
      <c r="BG246" t="s">
        <v>102</v>
      </c>
      <c r="BH246" t="s">
        <v>102</v>
      </c>
      <c r="BI246" t="s">
        <v>102</v>
      </c>
      <c r="BK246" t="s">
        <v>107</v>
      </c>
      <c r="BL246" t="s">
        <v>180</v>
      </c>
      <c r="BM246">
        <v>4.38</v>
      </c>
      <c r="BN246">
        <v>4.38</v>
      </c>
      <c r="CA246" t="s">
        <v>1315</v>
      </c>
      <c r="CB246" t="s">
        <v>1308</v>
      </c>
      <c r="CL246" t="s">
        <v>100</v>
      </c>
      <c r="CM246" t="s">
        <v>102</v>
      </c>
      <c r="CN246" t="s">
        <v>181</v>
      </c>
      <c r="CO246" s="1">
        <v>37814</v>
      </c>
      <c r="CP246" s="1">
        <v>43634</v>
      </c>
    </row>
    <row r="247" spans="1:94" x14ac:dyDescent="0.25">
      <c r="A247" t="s">
        <v>1317</v>
      </c>
      <c r="B247" t="str">
        <f xml:space="preserve"> "" &amp; 840254038226</f>
        <v>840254038226</v>
      </c>
      <c r="C247" t="s">
        <v>740</v>
      </c>
      <c r="D247" t="s">
        <v>1318</v>
      </c>
      <c r="E247" t="s">
        <v>453</v>
      </c>
      <c r="F247" t="s">
        <v>98</v>
      </c>
      <c r="G247">
        <v>1</v>
      </c>
      <c r="H247">
        <v>1</v>
      </c>
      <c r="I247" t="s">
        <v>99</v>
      </c>
      <c r="J247" s="4">
        <v>550</v>
      </c>
      <c r="K247" s="4">
        <v>1650</v>
      </c>
      <c r="O247" t="s">
        <v>100</v>
      </c>
      <c r="P247" s="4">
        <v>1154.95</v>
      </c>
      <c r="S247">
        <v>21.5</v>
      </c>
      <c r="U247">
        <v>26.5</v>
      </c>
      <c r="W247">
        <v>20.28</v>
      </c>
      <c r="X247">
        <v>1</v>
      </c>
      <c r="Y247">
        <v>27.5</v>
      </c>
      <c r="Z247">
        <v>34</v>
      </c>
      <c r="AA247">
        <v>16</v>
      </c>
      <c r="AB247">
        <v>8.657</v>
      </c>
      <c r="AC247">
        <v>29.76</v>
      </c>
      <c r="AE247">
        <v>6</v>
      </c>
      <c r="AF247" t="s">
        <v>167</v>
      </c>
      <c r="AG247">
        <v>60</v>
      </c>
      <c r="AK247" t="s">
        <v>102</v>
      </c>
      <c r="AL247">
        <v>6</v>
      </c>
      <c r="AM247" t="s">
        <v>102</v>
      </c>
      <c r="AN247" t="s">
        <v>100</v>
      </c>
      <c r="AO247" t="s">
        <v>102</v>
      </c>
      <c r="AP247" t="s">
        <v>117</v>
      </c>
      <c r="AQ247" t="s">
        <v>104</v>
      </c>
      <c r="AV247" t="s">
        <v>102</v>
      </c>
      <c r="AX247" t="s">
        <v>168</v>
      </c>
      <c r="AZ247" t="s">
        <v>454</v>
      </c>
      <c r="BD247" t="s">
        <v>482</v>
      </c>
      <c r="BF247" t="s">
        <v>1319</v>
      </c>
      <c r="BG247" t="s">
        <v>102</v>
      </c>
      <c r="BH247" t="s">
        <v>102</v>
      </c>
      <c r="BI247" t="s">
        <v>102</v>
      </c>
      <c r="BK247" t="s">
        <v>107</v>
      </c>
      <c r="CA247" t="s">
        <v>1320</v>
      </c>
      <c r="CB247" t="s">
        <v>168</v>
      </c>
      <c r="CL247" t="s">
        <v>102</v>
      </c>
      <c r="CM247" t="s">
        <v>102</v>
      </c>
      <c r="CN247" t="s">
        <v>272</v>
      </c>
      <c r="CO247" s="1">
        <v>40476</v>
      </c>
      <c r="CP247" s="1">
        <v>43634</v>
      </c>
    </row>
    <row r="248" spans="1:94" x14ac:dyDescent="0.25">
      <c r="A248" t="s">
        <v>1321</v>
      </c>
      <c r="B248" t="str">
        <f xml:space="preserve"> "" &amp; 840254038219</f>
        <v>840254038219</v>
      </c>
      <c r="C248" t="s">
        <v>95</v>
      </c>
      <c r="D248" t="s">
        <v>1322</v>
      </c>
      <c r="E248" t="s">
        <v>453</v>
      </c>
      <c r="F248" t="s">
        <v>98</v>
      </c>
      <c r="G248">
        <v>1</v>
      </c>
      <c r="H248">
        <v>1</v>
      </c>
      <c r="I248" t="s">
        <v>99</v>
      </c>
      <c r="J248" s="4">
        <v>775</v>
      </c>
      <c r="K248" s="4">
        <v>2325</v>
      </c>
      <c r="O248" t="s">
        <v>100</v>
      </c>
      <c r="P248" s="4">
        <v>1629.95</v>
      </c>
      <c r="S248">
        <v>83.5</v>
      </c>
      <c r="U248">
        <v>38.75</v>
      </c>
      <c r="W248">
        <v>33.93</v>
      </c>
      <c r="X248">
        <v>1</v>
      </c>
      <c r="Y248">
        <v>31.5</v>
      </c>
      <c r="Z248">
        <v>42.38</v>
      </c>
      <c r="AA248">
        <v>23</v>
      </c>
      <c r="AB248">
        <v>17.768999999999998</v>
      </c>
      <c r="AC248">
        <v>44.97</v>
      </c>
      <c r="AE248">
        <v>6</v>
      </c>
      <c r="AF248" t="s">
        <v>167</v>
      </c>
      <c r="AG248">
        <v>60</v>
      </c>
      <c r="AH248">
        <v>3</v>
      </c>
      <c r="AI248" t="s">
        <v>167</v>
      </c>
      <c r="AJ248">
        <v>60</v>
      </c>
      <c r="AK248" t="s">
        <v>102</v>
      </c>
      <c r="AL248">
        <v>12</v>
      </c>
      <c r="AM248" t="s">
        <v>102</v>
      </c>
      <c r="AN248" t="s">
        <v>100</v>
      </c>
      <c r="AO248" t="s">
        <v>102</v>
      </c>
      <c r="AP248" t="s">
        <v>103</v>
      </c>
      <c r="AQ248" t="s">
        <v>104</v>
      </c>
      <c r="AV248" t="s">
        <v>102</v>
      </c>
      <c r="AX248" t="s">
        <v>168</v>
      </c>
      <c r="AZ248" t="s">
        <v>454</v>
      </c>
      <c r="BB248" t="s">
        <v>54</v>
      </c>
      <c r="BD248" t="s">
        <v>482</v>
      </c>
      <c r="BF248" t="s">
        <v>1323</v>
      </c>
      <c r="BG248" t="s">
        <v>102</v>
      </c>
      <c r="BH248" t="s">
        <v>102</v>
      </c>
      <c r="BI248" t="s">
        <v>102</v>
      </c>
      <c r="BK248" t="s">
        <v>107</v>
      </c>
      <c r="CA248" t="s">
        <v>1324</v>
      </c>
      <c r="CB248" t="s">
        <v>168</v>
      </c>
      <c r="CL248" t="s">
        <v>100</v>
      </c>
      <c r="CM248" t="s">
        <v>102</v>
      </c>
      <c r="CN248" t="s">
        <v>272</v>
      </c>
      <c r="CO248" s="1">
        <v>40476</v>
      </c>
      <c r="CP248" s="1">
        <v>43634</v>
      </c>
    </row>
    <row r="249" spans="1:94" x14ac:dyDescent="0.25">
      <c r="A249" t="s">
        <v>1325</v>
      </c>
      <c r="B249" t="str">
        <f xml:space="preserve"> "" &amp; 840254040212</f>
        <v>840254040212</v>
      </c>
      <c r="C249" t="s">
        <v>1326</v>
      </c>
      <c r="D249" t="s">
        <v>1327</v>
      </c>
      <c r="E249" t="s">
        <v>453</v>
      </c>
      <c r="F249" t="s">
        <v>371</v>
      </c>
      <c r="G249">
        <v>1</v>
      </c>
      <c r="H249">
        <v>1</v>
      </c>
      <c r="I249" t="s">
        <v>99</v>
      </c>
      <c r="J249" s="4">
        <v>365</v>
      </c>
      <c r="K249" s="4">
        <v>1095</v>
      </c>
      <c r="O249" t="s">
        <v>100</v>
      </c>
      <c r="P249" s="4">
        <v>769.95</v>
      </c>
      <c r="S249">
        <v>17.5</v>
      </c>
      <c r="U249">
        <v>17</v>
      </c>
      <c r="W249">
        <v>10.76</v>
      </c>
      <c r="X249">
        <v>1</v>
      </c>
      <c r="Y249">
        <v>18.88</v>
      </c>
      <c r="Z249">
        <v>17.75</v>
      </c>
      <c r="AA249">
        <v>15.38</v>
      </c>
      <c r="AB249">
        <v>2.9830000000000001</v>
      </c>
      <c r="AC249">
        <v>14.33</v>
      </c>
      <c r="AE249">
        <v>3</v>
      </c>
      <c r="AF249" t="s">
        <v>167</v>
      </c>
      <c r="AG249">
        <v>60</v>
      </c>
      <c r="AK249" t="s">
        <v>102</v>
      </c>
      <c r="AL249">
        <v>3</v>
      </c>
      <c r="AM249" t="s">
        <v>102</v>
      </c>
      <c r="AN249" t="s">
        <v>100</v>
      </c>
      <c r="AO249" t="s">
        <v>102</v>
      </c>
      <c r="AP249" t="s">
        <v>117</v>
      </c>
      <c r="AQ249" t="s">
        <v>104</v>
      </c>
      <c r="AV249" t="s">
        <v>102</v>
      </c>
      <c r="AX249" t="s">
        <v>168</v>
      </c>
      <c r="AZ249" t="s">
        <v>454</v>
      </c>
      <c r="BB249" t="s">
        <v>118</v>
      </c>
      <c r="BC249" t="s">
        <v>275</v>
      </c>
      <c r="BD249" t="s">
        <v>482</v>
      </c>
      <c r="BF249" t="s">
        <v>1328</v>
      </c>
      <c r="BG249" t="s">
        <v>102</v>
      </c>
      <c r="BH249" t="s">
        <v>102</v>
      </c>
      <c r="BI249" t="s">
        <v>102</v>
      </c>
      <c r="BK249" t="s">
        <v>107</v>
      </c>
      <c r="CA249" t="s">
        <v>1329</v>
      </c>
      <c r="CB249" t="s">
        <v>168</v>
      </c>
      <c r="CL249" t="s">
        <v>102</v>
      </c>
      <c r="CM249" t="s">
        <v>102</v>
      </c>
      <c r="CN249" t="s">
        <v>272</v>
      </c>
      <c r="CO249" s="1">
        <v>40794</v>
      </c>
      <c r="CP249" s="1">
        <v>43634</v>
      </c>
    </row>
    <row r="250" spans="1:94" x14ac:dyDescent="0.25">
      <c r="A250" t="s">
        <v>1330</v>
      </c>
      <c r="B250" t="str">
        <f xml:space="preserve"> "" &amp; 840254038233</f>
        <v>840254038233</v>
      </c>
      <c r="C250" t="s">
        <v>911</v>
      </c>
      <c r="D250" t="s">
        <v>1331</v>
      </c>
      <c r="E250" t="s">
        <v>586</v>
      </c>
      <c r="F250" t="s">
        <v>371</v>
      </c>
      <c r="G250">
        <v>1</v>
      </c>
      <c r="H250">
        <v>1</v>
      </c>
      <c r="I250" t="s">
        <v>99</v>
      </c>
      <c r="J250" s="4">
        <v>325</v>
      </c>
      <c r="K250" s="4">
        <v>975</v>
      </c>
      <c r="O250" t="s">
        <v>100</v>
      </c>
      <c r="P250" s="4">
        <v>684.95</v>
      </c>
      <c r="S250">
        <v>29.5</v>
      </c>
      <c r="U250">
        <v>22.5</v>
      </c>
      <c r="W250">
        <v>18.5</v>
      </c>
      <c r="X250">
        <v>1</v>
      </c>
      <c r="Y250">
        <v>27.5</v>
      </c>
      <c r="Z250">
        <v>18.75</v>
      </c>
      <c r="AA250">
        <v>18.75</v>
      </c>
      <c r="AB250">
        <v>5.5949999999999998</v>
      </c>
      <c r="AC250">
        <v>26.15</v>
      </c>
      <c r="AE250">
        <v>4</v>
      </c>
      <c r="AF250" t="s">
        <v>167</v>
      </c>
      <c r="AG250">
        <v>60</v>
      </c>
      <c r="AK250" t="s">
        <v>102</v>
      </c>
      <c r="AM250" t="s">
        <v>102</v>
      </c>
      <c r="AN250" t="s">
        <v>100</v>
      </c>
      <c r="AO250" t="s">
        <v>102</v>
      </c>
      <c r="AP250" t="s">
        <v>117</v>
      </c>
      <c r="AQ250" t="s">
        <v>104</v>
      </c>
      <c r="AV250" t="s">
        <v>102</v>
      </c>
      <c r="AX250" t="s">
        <v>168</v>
      </c>
      <c r="AZ250" t="s">
        <v>454</v>
      </c>
      <c r="BB250" t="s">
        <v>1332</v>
      </c>
      <c r="BC250" t="s">
        <v>443</v>
      </c>
      <c r="BD250" t="s">
        <v>482</v>
      </c>
      <c r="BF250" t="s">
        <v>1333</v>
      </c>
      <c r="BG250" t="s">
        <v>102</v>
      </c>
      <c r="BH250" t="s">
        <v>102</v>
      </c>
      <c r="BI250" t="s">
        <v>102</v>
      </c>
      <c r="BK250" t="s">
        <v>107</v>
      </c>
      <c r="BR250">
        <v>1</v>
      </c>
      <c r="BT250">
        <v>6</v>
      </c>
      <c r="CA250" t="s">
        <v>1334</v>
      </c>
      <c r="CB250" t="s">
        <v>168</v>
      </c>
      <c r="CL250" t="s">
        <v>100</v>
      </c>
      <c r="CM250" t="s">
        <v>100</v>
      </c>
      <c r="CN250" t="s">
        <v>1335</v>
      </c>
      <c r="CO250" s="1">
        <v>42509</v>
      </c>
      <c r="CP250" s="1">
        <v>43634</v>
      </c>
    </row>
    <row r="251" spans="1:94" x14ac:dyDescent="0.25">
      <c r="A251" t="s">
        <v>1336</v>
      </c>
      <c r="B251" t="str">
        <f xml:space="preserve"> "" &amp; 840254038240</f>
        <v>840254038240</v>
      </c>
      <c r="C251" t="s">
        <v>911</v>
      </c>
      <c r="D251" t="s">
        <v>1331</v>
      </c>
      <c r="E251" t="s">
        <v>586</v>
      </c>
      <c r="F251" t="s">
        <v>371</v>
      </c>
      <c r="G251">
        <v>1</v>
      </c>
      <c r="H251">
        <v>1</v>
      </c>
      <c r="I251" t="s">
        <v>99</v>
      </c>
      <c r="J251" s="4">
        <v>325</v>
      </c>
      <c r="K251" s="4">
        <v>975</v>
      </c>
      <c r="O251" t="s">
        <v>100</v>
      </c>
      <c r="P251" s="4">
        <v>684.95</v>
      </c>
      <c r="S251">
        <v>29</v>
      </c>
      <c r="T251">
        <v>20</v>
      </c>
      <c r="U251">
        <v>20</v>
      </c>
      <c r="W251">
        <v>18.739999999999998</v>
      </c>
      <c r="X251">
        <v>1</v>
      </c>
      <c r="Y251">
        <v>29.75</v>
      </c>
      <c r="Z251">
        <v>18.13</v>
      </c>
      <c r="AA251">
        <v>18.13</v>
      </c>
      <c r="AB251">
        <v>5.6589999999999998</v>
      </c>
      <c r="AC251">
        <v>27.78</v>
      </c>
      <c r="AE251">
        <v>4</v>
      </c>
      <c r="AF251" t="s">
        <v>176</v>
      </c>
      <c r="AG251">
        <v>60</v>
      </c>
      <c r="AK251" t="s">
        <v>102</v>
      </c>
      <c r="AM251" t="s">
        <v>102</v>
      </c>
      <c r="AN251" t="s">
        <v>102</v>
      </c>
      <c r="AO251" t="s">
        <v>100</v>
      </c>
      <c r="AP251" t="s">
        <v>117</v>
      </c>
      <c r="AQ251" t="s">
        <v>104</v>
      </c>
      <c r="AV251" t="s">
        <v>102</v>
      </c>
      <c r="AX251" t="s">
        <v>168</v>
      </c>
      <c r="AZ251" t="s">
        <v>454</v>
      </c>
      <c r="BB251" t="s">
        <v>1332</v>
      </c>
      <c r="BC251" t="s">
        <v>443</v>
      </c>
      <c r="BD251" t="s">
        <v>482</v>
      </c>
      <c r="BF251" t="s">
        <v>1337</v>
      </c>
      <c r="BG251" t="s">
        <v>102</v>
      </c>
      <c r="BH251" t="s">
        <v>102</v>
      </c>
      <c r="BI251" t="s">
        <v>102</v>
      </c>
      <c r="BK251" t="s">
        <v>107</v>
      </c>
      <c r="BR251">
        <v>1</v>
      </c>
      <c r="BT251">
        <v>4.75</v>
      </c>
      <c r="CA251" t="s">
        <v>1338</v>
      </c>
      <c r="CB251" t="s">
        <v>168</v>
      </c>
      <c r="CL251" t="s">
        <v>100</v>
      </c>
      <c r="CM251" t="s">
        <v>100</v>
      </c>
      <c r="CN251" t="s">
        <v>1335</v>
      </c>
      <c r="CO251" s="1">
        <v>42652</v>
      </c>
      <c r="CP251" s="1">
        <v>43634</v>
      </c>
    </row>
    <row r="252" spans="1:94" x14ac:dyDescent="0.25">
      <c r="A252" t="s">
        <v>1339</v>
      </c>
      <c r="B252" t="str">
        <f xml:space="preserve"> "" &amp; 840254040168</f>
        <v>840254040168</v>
      </c>
      <c r="C252" t="s">
        <v>1038</v>
      </c>
      <c r="D252" t="s">
        <v>1340</v>
      </c>
      <c r="E252" t="s">
        <v>586</v>
      </c>
      <c r="F252" t="s">
        <v>98</v>
      </c>
      <c r="G252">
        <v>1</v>
      </c>
      <c r="H252">
        <v>1</v>
      </c>
      <c r="I252" t="s">
        <v>99</v>
      </c>
      <c r="J252" s="4">
        <v>475</v>
      </c>
      <c r="K252" s="4">
        <v>1425</v>
      </c>
      <c r="O252" t="s">
        <v>100</v>
      </c>
      <c r="P252" s="4">
        <v>999.95</v>
      </c>
      <c r="S252">
        <v>36.5</v>
      </c>
      <c r="U252">
        <v>25</v>
      </c>
      <c r="W252">
        <v>22.58</v>
      </c>
      <c r="X252">
        <v>1</v>
      </c>
      <c r="Y252">
        <v>34.25</v>
      </c>
      <c r="Z252">
        <v>26.5</v>
      </c>
      <c r="AA252">
        <v>25.25</v>
      </c>
      <c r="AB252">
        <v>13.262</v>
      </c>
      <c r="AC252">
        <v>37.04</v>
      </c>
      <c r="AE252">
        <v>5</v>
      </c>
      <c r="AF252" t="s">
        <v>167</v>
      </c>
      <c r="AG252">
        <v>60</v>
      </c>
      <c r="AK252" t="s">
        <v>102</v>
      </c>
      <c r="AM252" t="s">
        <v>102</v>
      </c>
      <c r="AN252" t="s">
        <v>100</v>
      </c>
      <c r="AO252" t="s">
        <v>102</v>
      </c>
      <c r="AP252" t="s">
        <v>103</v>
      </c>
      <c r="AQ252" t="s">
        <v>104</v>
      </c>
      <c r="AV252" t="s">
        <v>102</v>
      </c>
      <c r="AX252" t="s">
        <v>168</v>
      </c>
      <c r="AZ252" t="s">
        <v>454</v>
      </c>
      <c r="BB252" t="s">
        <v>442</v>
      </c>
      <c r="BC252" t="s">
        <v>443</v>
      </c>
      <c r="BF252" t="s">
        <v>1341</v>
      </c>
      <c r="BG252" t="s">
        <v>102</v>
      </c>
      <c r="BH252" t="s">
        <v>102</v>
      </c>
      <c r="BI252" t="s">
        <v>102</v>
      </c>
      <c r="BK252" t="s">
        <v>107</v>
      </c>
      <c r="BR252">
        <v>1</v>
      </c>
      <c r="BT252">
        <v>6</v>
      </c>
      <c r="CA252" t="s">
        <v>1342</v>
      </c>
      <c r="CB252" t="s">
        <v>168</v>
      </c>
      <c r="CL252" t="s">
        <v>100</v>
      </c>
      <c r="CM252" t="s">
        <v>102</v>
      </c>
      <c r="CN252" t="s">
        <v>589</v>
      </c>
      <c r="CO252" s="1">
        <v>42509</v>
      </c>
      <c r="CP252" s="1">
        <v>43634</v>
      </c>
    </row>
    <row r="253" spans="1:94" x14ac:dyDescent="0.25">
      <c r="A253" t="s">
        <v>1346</v>
      </c>
      <c r="B253" t="str">
        <f xml:space="preserve"> "" &amp; 840254044227</f>
        <v>840254044227</v>
      </c>
      <c r="C253" t="s">
        <v>911</v>
      </c>
      <c r="D253" t="s">
        <v>1343</v>
      </c>
      <c r="E253" t="s">
        <v>1344</v>
      </c>
      <c r="F253" t="s">
        <v>371</v>
      </c>
      <c r="G253">
        <v>1</v>
      </c>
      <c r="H253">
        <v>1</v>
      </c>
      <c r="I253" t="s">
        <v>99</v>
      </c>
      <c r="J253" s="4">
        <v>375</v>
      </c>
      <c r="K253" s="4">
        <v>1125</v>
      </c>
      <c r="O253" t="s">
        <v>100</v>
      </c>
      <c r="P253" s="4">
        <v>789.95</v>
      </c>
      <c r="S253">
        <v>20.5</v>
      </c>
      <c r="T253">
        <v>19</v>
      </c>
      <c r="U253">
        <v>19</v>
      </c>
      <c r="W253">
        <v>10.85</v>
      </c>
      <c r="X253">
        <v>1</v>
      </c>
      <c r="Y253">
        <v>23.5</v>
      </c>
      <c r="Z253">
        <v>16.75</v>
      </c>
      <c r="AA253">
        <v>16.75</v>
      </c>
      <c r="AB253">
        <v>3.8159999999999998</v>
      </c>
      <c r="AC253">
        <v>15.45</v>
      </c>
      <c r="AE253">
        <v>4</v>
      </c>
      <c r="AF253" t="s">
        <v>167</v>
      </c>
      <c r="AG253">
        <v>60</v>
      </c>
      <c r="AK253" t="s">
        <v>102</v>
      </c>
      <c r="AM253" t="s">
        <v>102</v>
      </c>
      <c r="AN253" t="s">
        <v>100</v>
      </c>
      <c r="AO253" t="s">
        <v>102</v>
      </c>
      <c r="AP253" t="s">
        <v>117</v>
      </c>
      <c r="AQ253" t="s">
        <v>104</v>
      </c>
      <c r="AV253" t="s">
        <v>102</v>
      </c>
      <c r="AX253" t="s">
        <v>1345</v>
      </c>
      <c r="BF253" t="s">
        <v>1347</v>
      </c>
      <c r="BG253" t="s">
        <v>102</v>
      </c>
      <c r="BH253" t="s">
        <v>102</v>
      </c>
      <c r="BI253" t="s">
        <v>102</v>
      </c>
      <c r="BK253" t="s">
        <v>107</v>
      </c>
      <c r="BQ253">
        <v>5</v>
      </c>
      <c r="BR253">
        <v>1</v>
      </c>
      <c r="BS253">
        <v>5</v>
      </c>
      <c r="BT253">
        <v>5</v>
      </c>
      <c r="CA253" t="s">
        <v>1348</v>
      </c>
      <c r="CB253" t="s">
        <v>1345</v>
      </c>
      <c r="CL253" t="s">
        <v>102</v>
      </c>
      <c r="CM253" t="s">
        <v>102</v>
      </c>
      <c r="CN253" t="s">
        <v>193</v>
      </c>
      <c r="CO253" s="1">
        <v>42145</v>
      </c>
      <c r="CP253" s="1">
        <v>43634</v>
      </c>
    </row>
    <row r="254" spans="1:94" x14ac:dyDescent="0.25">
      <c r="A254" t="s">
        <v>1349</v>
      </c>
      <c r="B254" t="str">
        <f xml:space="preserve"> "" &amp; 840254043121</f>
        <v>840254043121</v>
      </c>
      <c r="C254" t="s">
        <v>400</v>
      </c>
      <c r="D254" t="s">
        <v>1350</v>
      </c>
      <c r="E254" t="s">
        <v>592</v>
      </c>
      <c r="F254" t="s">
        <v>371</v>
      </c>
      <c r="G254">
        <v>1</v>
      </c>
      <c r="H254">
        <v>1</v>
      </c>
      <c r="I254" t="s">
        <v>99</v>
      </c>
      <c r="J254" s="4">
        <v>695</v>
      </c>
      <c r="K254" s="4">
        <v>2085</v>
      </c>
      <c r="O254" t="s">
        <v>100</v>
      </c>
      <c r="P254" s="4">
        <v>1459.95</v>
      </c>
      <c r="S254">
        <v>32.5</v>
      </c>
      <c r="T254">
        <v>29</v>
      </c>
      <c r="U254">
        <v>29</v>
      </c>
      <c r="W254">
        <v>19.62</v>
      </c>
      <c r="X254">
        <v>1</v>
      </c>
      <c r="Y254">
        <v>26.25</v>
      </c>
      <c r="Z254">
        <v>30.25</v>
      </c>
      <c r="AA254">
        <v>29.25</v>
      </c>
      <c r="AB254">
        <v>13.441000000000001</v>
      </c>
      <c r="AC254">
        <v>35.19</v>
      </c>
      <c r="AE254">
        <v>12</v>
      </c>
      <c r="AF254" t="s">
        <v>466</v>
      </c>
      <c r="AG254">
        <v>40</v>
      </c>
      <c r="AK254" t="s">
        <v>100</v>
      </c>
      <c r="AM254" t="s">
        <v>102</v>
      </c>
      <c r="AN254" t="s">
        <v>102</v>
      </c>
      <c r="AO254" t="s">
        <v>100</v>
      </c>
      <c r="AP254" t="s">
        <v>117</v>
      </c>
      <c r="AQ254" t="s">
        <v>104</v>
      </c>
      <c r="AV254" t="s">
        <v>102</v>
      </c>
      <c r="AX254" t="s">
        <v>593</v>
      </c>
      <c r="AZ254" t="s">
        <v>105</v>
      </c>
      <c r="BF254" t="s">
        <v>1351</v>
      </c>
      <c r="BG254" t="s">
        <v>102</v>
      </c>
      <c r="BH254" t="s">
        <v>102</v>
      </c>
      <c r="BI254" t="s">
        <v>102</v>
      </c>
      <c r="BK254" t="s">
        <v>107</v>
      </c>
      <c r="BR254">
        <v>1.5</v>
      </c>
      <c r="BT254">
        <v>5.5</v>
      </c>
      <c r="CA254" t="s">
        <v>1352</v>
      </c>
      <c r="CB254" t="s">
        <v>593</v>
      </c>
      <c r="CL254" t="s">
        <v>102</v>
      </c>
      <c r="CM254" t="s">
        <v>100</v>
      </c>
      <c r="CN254" t="s">
        <v>424</v>
      </c>
      <c r="CO254" s="1">
        <v>41703</v>
      </c>
      <c r="CP254" s="1">
        <v>43634</v>
      </c>
    </row>
    <row r="255" spans="1:94" x14ac:dyDescent="0.25">
      <c r="A255" t="s">
        <v>1353</v>
      </c>
      <c r="B255" t="str">
        <f xml:space="preserve"> "" &amp; 840254043169</f>
        <v>840254043169</v>
      </c>
      <c r="C255" t="s">
        <v>716</v>
      </c>
      <c r="D255" t="s">
        <v>1354</v>
      </c>
      <c r="E255" t="s">
        <v>592</v>
      </c>
      <c r="F255" t="s">
        <v>710</v>
      </c>
      <c r="G255">
        <v>1</v>
      </c>
      <c r="H255">
        <v>1</v>
      </c>
      <c r="I255" t="s">
        <v>99</v>
      </c>
      <c r="J255" s="4">
        <v>295</v>
      </c>
      <c r="K255" s="4">
        <v>885</v>
      </c>
      <c r="O255" t="s">
        <v>100</v>
      </c>
      <c r="P255" s="4">
        <v>619.95000000000005</v>
      </c>
      <c r="S255">
        <v>24</v>
      </c>
      <c r="U255">
        <v>20.5</v>
      </c>
      <c r="W255">
        <v>9.81</v>
      </c>
      <c r="X255">
        <v>1</v>
      </c>
      <c r="Y255">
        <v>12.5</v>
      </c>
      <c r="Z255">
        <v>22.75</v>
      </c>
      <c r="AA255">
        <v>22.75</v>
      </c>
      <c r="AB255">
        <v>3.7440000000000002</v>
      </c>
      <c r="AC255">
        <v>15.65</v>
      </c>
      <c r="AE255">
        <v>5</v>
      </c>
      <c r="AF255" t="s">
        <v>1355</v>
      </c>
      <c r="AG255">
        <v>75</v>
      </c>
      <c r="AK255" t="s">
        <v>100</v>
      </c>
      <c r="AM255" t="s">
        <v>102</v>
      </c>
      <c r="AN255" t="s">
        <v>102</v>
      </c>
      <c r="AO255" t="s">
        <v>100</v>
      </c>
      <c r="AP255" t="s">
        <v>117</v>
      </c>
      <c r="AQ255" t="s">
        <v>104</v>
      </c>
      <c r="AV255" t="s">
        <v>102</v>
      </c>
      <c r="AX255" t="s">
        <v>593</v>
      </c>
      <c r="AZ255" t="s">
        <v>105</v>
      </c>
      <c r="BF255" t="s">
        <v>1356</v>
      </c>
      <c r="BG255" t="s">
        <v>102</v>
      </c>
      <c r="BH255" t="s">
        <v>102</v>
      </c>
      <c r="BI255" t="s">
        <v>102</v>
      </c>
      <c r="BK255" t="s">
        <v>107</v>
      </c>
      <c r="BR255">
        <v>2</v>
      </c>
      <c r="BT255">
        <v>6.25</v>
      </c>
      <c r="CA255" t="s">
        <v>1357</v>
      </c>
      <c r="CB255" t="s">
        <v>593</v>
      </c>
      <c r="CL255" t="s">
        <v>102</v>
      </c>
      <c r="CM255" t="s">
        <v>100</v>
      </c>
      <c r="CN255" t="s">
        <v>375</v>
      </c>
      <c r="CO255" s="1">
        <v>41703</v>
      </c>
      <c r="CP255" s="1">
        <v>43634</v>
      </c>
    </row>
    <row r="256" spans="1:94" x14ac:dyDescent="0.25">
      <c r="A256" t="s">
        <v>1358</v>
      </c>
      <c r="B256" t="str">
        <f xml:space="preserve"> "" &amp; 840254043176</f>
        <v>840254043176</v>
      </c>
      <c r="C256" t="s">
        <v>390</v>
      </c>
      <c r="D256" t="s">
        <v>1359</v>
      </c>
      <c r="E256" t="s">
        <v>592</v>
      </c>
      <c r="F256" t="s">
        <v>371</v>
      </c>
      <c r="G256">
        <v>1</v>
      </c>
      <c r="H256">
        <v>1</v>
      </c>
      <c r="I256" t="s">
        <v>99</v>
      </c>
      <c r="J256" s="4">
        <v>365</v>
      </c>
      <c r="K256" s="4">
        <v>1095</v>
      </c>
      <c r="O256" t="s">
        <v>100</v>
      </c>
      <c r="P256" s="4">
        <v>769.95</v>
      </c>
      <c r="S256">
        <v>26</v>
      </c>
      <c r="T256">
        <v>17.25</v>
      </c>
      <c r="U256">
        <v>17.25</v>
      </c>
      <c r="W256">
        <v>10.67</v>
      </c>
      <c r="X256">
        <v>1</v>
      </c>
      <c r="Y256">
        <v>12.25</v>
      </c>
      <c r="Z256">
        <v>19.75</v>
      </c>
      <c r="AA256">
        <v>17.75</v>
      </c>
      <c r="AB256">
        <v>2.4849999999999999</v>
      </c>
      <c r="AC256">
        <v>15.26</v>
      </c>
      <c r="AE256">
        <v>6</v>
      </c>
      <c r="AF256" t="s">
        <v>466</v>
      </c>
      <c r="AG256">
        <v>75</v>
      </c>
      <c r="AK256" t="s">
        <v>100</v>
      </c>
      <c r="AM256" t="s">
        <v>102</v>
      </c>
      <c r="AN256" t="s">
        <v>102</v>
      </c>
      <c r="AO256" t="s">
        <v>100</v>
      </c>
      <c r="AP256" t="s">
        <v>117</v>
      </c>
      <c r="AQ256" t="s">
        <v>104</v>
      </c>
      <c r="AV256" t="s">
        <v>102</v>
      </c>
      <c r="AX256" t="s">
        <v>593</v>
      </c>
      <c r="AZ256" t="s">
        <v>105</v>
      </c>
      <c r="BF256" t="s">
        <v>1360</v>
      </c>
      <c r="BG256" t="s">
        <v>102</v>
      </c>
      <c r="BH256" t="s">
        <v>102</v>
      </c>
      <c r="BI256" t="s">
        <v>102</v>
      </c>
      <c r="BK256" t="s">
        <v>107</v>
      </c>
      <c r="BR256">
        <v>1.5</v>
      </c>
      <c r="BT256">
        <v>5.5</v>
      </c>
      <c r="CA256" t="s">
        <v>1361</v>
      </c>
      <c r="CB256" t="s">
        <v>593</v>
      </c>
      <c r="CL256" t="s">
        <v>102</v>
      </c>
      <c r="CM256" t="s">
        <v>100</v>
      </c>
      <c r="CN256" t="s">
        <v>424</v>
      </c>
      <c r="CO256" s="1">
        <v>41703</v>
      </c>
      <c r="CP256" s="1">
        <v>43634</v>
      </c>
    </row>
    <row r="257" spans="1:94" x14ac:dyDescent="0.25">
      <c r="A257" t="s">
        <v>1362</v>
      </c>
      <c r="B257" t="str">
        <f xml:space="preserve"> "" &amp; 840254043190</f>
        <v>840254043190</v>
      </c>
      <c r="C257" t="s">
        <v>846</v>
      </c>
      <c r="D257" t="s">
        <v>1363</v>
      </c>
      <c r="E257" t="s">
        <v>592</v>
      </c>
      <c r="F257" t="s">
        <v>98</v>
      </c>
      <c r="G257">
        <v>1</v>
      </c>
      <c r="H257">
        <v>1</v>
      </c>
      <c r="I257" t="s">
        <v>99</v>
      </c>
      <c r="J257" s="4">
        <v>995</v>
      </c>
      <c r="K257" s="4">
        <v>2985</v>
      </c>
      <c r="O257" t="s">
        <v>100</v>
      </c>
      <c r="P257" s="4">
        <v>2089.9499999999998</v>
      </c>
      <c r="S257">
        <v>40</v>
      </c>
      <c r="T257">
        <v>38</v>
      </c>
      <c r="U257">
        <v>38</v>
      </c>
      <c r="W257">
        <v>31.97</v>
      </c>
      <c r="X257">
        <v>1</v>
      </c>
      <c r="Y257">
        <v>33.25</v>
      </c>
      <c r="Z257">
        <v>33.5</v>
      </c>
      <c r="AA257">
        <v>33.5</v>
      </c>
      <c r="AB257">
        <v>21.594000000000001</v>
      </c>
      <c r="AC257">
        <v>57.54</v>
      </c>
      <c r="AE257">
        <v>16</v>
      </c>
      <c r="AF257" t="s">
        <v>466</v>
      </c>
      <c r="AG257">
        <v>40</v>
      </c>
      <c r="AK257" t="s">
        <v>100</v>
      </c>
      <c r="AM257" t="s">
        <v>102</v>
      </c>
      <c r="AN257" t="s">
        <v>102</v>
      </c>
      <c r="AO257" t="s">
        <v>100</v>
      </c>
      <c r="AP257" t="s">
        <v>103</v>
      </c>
      <c r="AQ257" t="s">
        <v>104</v>
      </c>
      <c r="AV257" t="s">
        <v>102</v>
      </c>
      <c r="AX257" t="s">
        <v>593</v>
      </c>
      <c r="AZ257" t="s">
        <v>105</v>
      </c>
      <c r="BF257" t="s">
        <v>1364</v>
      </c>
      <c r="BG257" t="s">
        <v>102</v>
      </c>
      <c r="BH257" t="s">
        <v>102</v>
      </c>
      <c r="BI257" t="s">
        <v>102</v>
      </c>
      <c r="BK257" t="s">
        <v>107</v>
      </c>
      <c r="BR257">
        <v>1.5</v>
      </c>
      <c r="BT257">
        <v>5.5</v>
      </c>
      <c r="CA257" t="s">
        <v>1365</v>
      </c>
      <c r="CB257" t="s">
        <v>593</v>
      </c>
      <c r="CL257" t="s">
        <v>102</v>
      </c>
      <c r="CM257" t="s">
        <v>100</v>
      </c>
      <c r="CN257" t="s">
        <v>424</v>
      </c>
      <c r="CO257" s="1">
        <v>41703</v>
      </c>
      <c r="CP257" s="1">
        <v>43634</v>
      </c>
    </row>
    <row r="258" spans="1:94" x14ac:dyDescent="0.25">
      <c r="A258" t="s">
        <v>1366</v>
      </c>
      <c r="B258" t="str">
        <f xml:space="preserve"> "" &amp; 840254043183</f>
        <v>840254043183</v>
      </c>
      <c r="C258" t="s">
        <v>691</v>
      </c>
      <c r="D258" t="s">
        <v>1367</v>
      </c>
      <c r="E258" t="s">
        <v>592</v>
      </c>
      <c r="F258" t="s">
        <v>371</v>
      </c>
      <c r="G258">
        <v>1</v>
      </c>
      <c r="H258">
        <v>1</v>
      </c>
      <c r="I258" t="s">
        <v>99</v>
      </c>
      <c r="J258" s="4">
        <v>495</v>
      </c>
      <c r="K258" s="4">
        <v>1485</v>
      </c>
      <c r="O258" t="s">
        <v>100</v>
      </c>
      <c r="P258" s="4">
        <v>1039.95</v>
      </c>
      <c r="S258">
        <v>28</v>
      </c>
      <c r="T258">
        <v>25</v>
      </c>
      <c r="U258">
        <v>25</v>
      </c>
      <c r="W258">
        <v>14.68</v>
      </c>
      <c r="X258">
        <v>1</v>
      </c>
      <c r="Y258">
        <v>15.75</v>
      </c>
      <c r="Z258">
        <v>25.5</v>
      </c>
      <c r="AA258">
        <v>25.5</v>
      </c>
      <c r="AB258">
        <v>5.9269999999999996</v>
      </c>
      <c r="AC258">
        <v>25.13</v>
      </c>
      <c r="AE258">
        <v>8</v>
      </c>
      <c r="AF258" t="s">
        <v>466</v>
      </c>
      <c r="AG258">
        <v>75</v>
      </c>
      <c r="AK258" t="s">
        <v>100</v>
      </c>
      <c r="AM258" t="s">
        <v>102</v>
      </c>
      <c r="AN258" t="s">
        <v>102</v>
      </c>
      <c r="AO258" t="s">
        <v>100</v>
      </c>
      <c r="AP258" t="s">
        <v>117</v>
      </c>
      <c r="AQ258" t="s">
        <v>104</v>
      </c>
      <c r="AV258" t="s">
        <v>102</v>
      </c>
      <c r="AX258" t="s">
        <v>593</v>
      </c>
      <c r="AZ258" t="s">
        <v>105</v>
      </c>
      <c r="BF258" t="s">
        <v>1368</v>
      </c>
      <c r="BG258" t="s">
        <v>102</v>
      </c>
      <c r="BH258" t="s">
        <v>102</v>
      </c>
      <c r="BI258" t="s">
        <v>102</v>
      </c>
      <c r="BK258" t="s">
        <v>107</v>
      </c>
      <c r="BR258">
        <v>1.5</v>
      </c>
      <c r="BT258">
        <v>5.5</v>
      </c>
      <c r="CA258" t="s">
        <v>1369</v>
      </c>
      <c r="CB258" t="s">
        <v>593</v>
      </c>
      <c r="CL258" t="s">
        <v>102</v>
      </c>
      <c r="CM258" t="s">
        <v>100</v>
      </c>
      <c r="CN258" t="s">
        <v>424</v>
      </c>
      <c r="CO258" s="1">
        <v>41703</v>
      </c>
      <c r="CP258" s="1">
        <v>43634</v>
      </c>
    </row>
    <row r="259" spans="1:94" x14ac:dyDescent="0.25">
      <c r="A259" t="s">
        <v>1370</v>
      </c>
      <c r="B259" t="str">
        <f xml:space="preserve"> "" &amp; 840254043138</f>
        <v>840254043138</v>
      </c>
      <c r="C259" t="s">
        <v>826</v>
      </c>
      <c r="D259" t="s">
        <v>1371</v>
      </c>
      <c r="E259" t="s">
        <v>592</v>
      </c>
      <c r="F259" t="s">
        <v>828</v>
      </c>
      <c r="G259">
        <v>1</v>
      </c>
      <c r="H259">
        <v>1</v>
      </c>
      <c r="I259" t="s">
        <v>99</v>
      </c>
      <c r="J259" s="4">
        <v>695</v>
      </c>
      <c r="K259" s="4">
        <v>2085</v>
      </c>
      <c r="O259" t="s">
        <v>100</v>
      </c>
      <c r="P259" s="4">
        <v>1459.95</v>
      </c>
      <c r="S259">
        <v>27</v>
      </c>
      <c r="U259">
        <v>45.75</v>
      </c>
      <c r="V259">
        <v>18</v>
      </c>
      <c r="W259">
        <v>22.49</v>
      </c>
      <c r="X259">
        <v>1</v>
      </c>
      <c r="Y259">
        <v>16.25</v>
      </c>
      <c r="Z259">
        <v>47.5</v>
      </c>
      <c r="AA259">
        <v>21</v>
      </c>
      <c r="AB259">
        <v>9.3800000000000008</v>
      </c>
      <c r="AC259">
        <v>35.049999999999997</v>
      </c>
      <c r="AE259">
        <v>12</v>
      </c>
      <c r="AF259" t="s">
        <v>466</v>
      </c>
      <c r="AG259">
        <v>40</v>
      </c>
      <c r="AK259" t="s">
        <v>100</v>
      </c>
      <c r="AM259" t="s">
        <v>102</v>
      </c>
      <c r="AN259" t="s">
        <v>102</v>
      </c>
      <c r="AO259" t="s">
        <v>100</v>
      </c>
      <c r="AP259" t="s">
        <v>103</v>
      </c>
      <c r="AQ259" t="s">
        <v>104</v>
      </c>
      <c r="AV259" t="s">
        <v>102</v>
      </c>
      <c r="AX259" t="s">
        <v>593</v>
      </c>
      <c r="AZ259" t="s">
        <v>105</v>
      </c>
      <c r="BF259" t="s">
        <v>1372</v>
      </c>
      <c r="BG259" t="s">
        <v>102</v>
      </c>
      <c r="BH259" t="s">
        <v>102</v>
      </c>
      <c r="BI259" t="s">
        <v>102</v>
      </c>
      <c r="BK259" t="s">
        <v>107</v>
      </c>
      <c r="BR259">
        <v>1.5</v>
      </c>
      <c r="BT259">
        <v>5.5</v>
      </c>
      <c r="CA259" t="s">
        <v>1373</v>
      </c>
      <c r="CB259" t="s">
        <v>593</v>
      </c>
      <c r="CL259" t="s">
        <v>102</v>
      </c>
      <c r="CM259" t="s">
        <v>100</v>
      </c>
      <c r="CN259" t="s">
        <v>424</v>
      </c>
      <c r="CO259" s="1">
        <v>41703</v>
      </c>
      <c r="CP259" s="1">
        <v>43634</v>
      </c>
    </row>
    <row r="260" spans="1:94" x14ac:dyDescent="0.25">
      <c r="A260" t="s">
        <v>1374</v>
      </c>
      <c r="B260" t="str">
        <f xml:space="preserve"> "" &amp; 840254038264</f>
        <v>840254038264</v>
      </c>
      <c r="C260" t="s">
        <v>1301</v>
      </c>
      <c r="D260" t="s">
        <v>1331</v>
      </c>
      <c r="E260" t="s">
        <v>586</v>
      </c>
      <c r="F260" t="s">
        <v>98</v>
      </c>
      <c r="G260">
        <v>1</v>
      </c>
      <c r="H260">
        <v>1</v>
      </c>
      <c r="I260" t="s">
        <v>99</v>
      </c>
      <c r="J260" s="4">
        <v>225</v>
      </c>
      <c r="K260" s="4">
        <v>675</v>
      </c>
      <c r="O260" t="s">
        <v>100</v>
      </c>
      <c r="P260" s="4">
        <v>474.95</v>
      </c>
      <c r="S260">
        <v>16.25</v>
      </c>
      <c r="U260">
        <v>25</v>
      </c>
      <c r="W260">
        <v>11.97</v>
      </c>
      <c r="X260">
        <v>1</v>
      </c>
      <c r="Y260">
        <v>16</v>
      </c>
      <c r="Z260">
        <v>21</v>
      </c>
      <c r="AA260">
        <v>21</v>
      </c>
      <c r="AB260">
        <v>4.0830000000000002</v>
      </c>
      <c r="AC260">
        <v>18.7</v>
      </c>
      <c r="AE260">
        <v>4</v>
      </c>
      <c r="AF260" t="s">
        <v>575</v>
      </c>
      <c r="AG260">
        <v>60</v>
      </c>
      <c r="AK260" t="s">
        <v>102</v>
      </c>
      <c r="AL260">
        <v>4</v>
      </c>
      <c r="AM260" t="s">
        <v>102</v>
      </c>
      <c r="AN260" t="s">
        <v>100</v>
      </c>
      <c r="AO260" t="s">
        <v>102</v>
      </c>
      <c r="AP260" t="s">
        <v>117</v>
      </c>
      <c r="AQ260" t="s">
        <v>104</v>
      </c>
      <c r="AV260" t="s">
        <v>102</v>
      </c>
      <c r="AX260" t="s">
        <v>168</v>
      </c>
      <c r="AZ260" t="s">
        <v>454</v>
      </c>
      <c r="BD260" t="s">
        <v>482</v>
      </c>
      <c r="BF260" t="s">
        <v>1375</v>
      </c>
      <c r="BG260" t="s">
        <v>102</v>
      </c>
      <c r="BH260" t="s">
        <v>102</v>
      </c>
      <c r="BI260" t="s">
        <v>102</v>
      </c>
      <c r="BK260" t="s">
        <v>107</v>
      </c>
      <c r="CA260" t="s">
        <v>1376</v>
      </c>
      <c r="CB260" t="s">
        <v>168</v>
      </c>
      <c r="CL260" t="s">
        <v>102</v>
      </c>
      <c r="CM260" t="s">
        <v>102</v>
      </c>
      <c r="CN260" t="s">
        <v>1377</v>
      </c>
      <c r="CO260" s="1">
        <v>40513</v>
      </c>
      <c r="CP260" s="1">
        <v>43634</v>
      </c>
    </row>
    <row r="261" spans="1:94" x14ac:dyDescent="0.25">
      <c r="A261" t="s">
        <v>1378</v>
      </c>
      <c r="B261" t="str">
        <f xml:space="preserve"> "" &amp; 840254038257</f>
        <v>840254038257</v>
      </c>
      <c r="C261" t="s">
        <v>111</v>
      </c>
      <c r="D261" t="s">
        <v>1379</v>
      </c>
      <c r="E261" t="s">
        <v>586</v>
      </c>
      <c r="F261" t="s">
        <v>98</v>
      </c>
      <c r="G261">
        <v>1</v>
      </c>
      <c r="H261">
        <v>1</v>
      </c>
      <c r="I261" t="s">
        <v>99</v>
      </c>
      <c r="J261" s="4">
        <v>350</v>
      </c>
      <c r="K261" s="4">
        <v>1050</v>
      </c>
      <c r="O261" t="s">
        <v>100</v>
      </c>
      <c r="P261" s="4">
        <v>734.95</v>
      </c>
      <c r="S261">
        <v>21</v>
      </c>
      <c r="U261">
        <v>29</v>
      </c>
      <c r="W261">
        <v>20.53</v>
      </c>
      <c r="X261">
        <v>1</v>
      </c>
      <c r="Y261">
        <v>22</v>
      </c>
      <c r="Z261">
        <v>25</v>
      </c>
      <c r="AA261">
        <v>25</v>
      </c>
      <c r="AB261">
        <v>7.9569999999999999</v>
      </c>
      <c r="AC261">
        <v>29.1</v>
      </c>
      <c r="AE261">
        <v>8</v>
      </c>
      <c r="AF261" t="s">
        <v>575</v>
      </c>
      <c r="AG261">
        <v>60</v>
      </c>
      <c r="AK261" t="s">
        <v>102</v>
      </c>
      <c r="AL261">
        <v>8</v>
      </c>
      <c r="AM261" t="s">
        <v>102</v>
      </c>
      <c r="AN261" t="s">
        <v>100</v>
      </c>
      <c r="AO261" t="s">
        <v>102</v>
      </c>
      <c r="AP261" t="s">
        <v>117</v>
      </c>
      <c r="AQ261" t="s">
        <v>104</v>
      </c>
      <c r="AV261" t="s">
        <v>102</v>
      </c>
      <c r="AX261" t="s">
        <v>168</v>
      </c>
      <c r="AZ261" t="s">
        <v>454</v>
      </c>
      <c r="BD261" t="s">
        <v>482</v>
      </c>
      <c r="BF261" t="s">
        <v>1380</v>
      </c>
      <c r="BG261" t="s">
        <v>102</v>
      </c>
      <c r="BH261" t="s">
        <v>102</v>
      </c>
      <c r="BI261" t="s">
        <v>102</v>
      </c>
      <c r="BK261" t="s">
        <v>107</v>
      </c>
      <c r="CA261" t="s">
        <v>1381</v>
      </c>
      <c r="CB261" t="s">
        <v>168</v>
      </c>
      <c r="CL261" t="s">
        <v>102</v>
      </c>
      <c r="CM261" t="s">
        <v>102</v>
      </c>
      <c r="CN261" t="s">
        <v>1377</v>
      </c>
      <c r="CO261" s="1">
        <v>40513</v>
      </c>
      <c r="CP261" s="1">
        <v>43634</v>
      </c>
    </row>
    <row r="262" spans="1:94" x14ac:dyDescent="0.25">
      <c r="A262" t="s">
        <v>1382</v>
      </c>
      <c r="B262" t="str">
        <f xml:space="preserve"> "" &amp; 840254047389</f>
        <v>840254047389</v>
      </c>
      <c r="C262" t="s">
        <v>1383</v>
      </c>
      <c r="D262" t="s">
        <v>1384</v>
      </c>
      <c r="E262" t="s">
        <v>1385</v>
      </c>
      <c r="F262" t="s">
        <v>710</v>
      </c>
      <c r="G262">
        <v>1</v>
      </c>
      <c r="H262">
        <v>1</v>
      </c>
      <c r="I262" t="s">
        <v>99</v>
      </c>
      <c r="J262" s="4">
        <v>175</v>
      </c>
      <c r="K262" s="4">
        <v>525</v>
      </c>
      <c r="O262" t="s">
        <v>100</v>
      </c>
      <c r="P262" s="4">
        <v>369.95</v>
      </c>
      <c r="S262">
        <v>14.5</v>
      </c>
      <c r="U262">
        <v>16.75</v>
      </c>
      <c r="W262">
        <v>7.52</v>
      </c>
      <c r="X262">
        <v>1</v>
      </c>
      <c r="Y262">
        <v>11.75</v>
      </c>
      <c r="Z262">
        <v>18.88</v>
      </c>
      <c r="AA262">
        <v>18</v>
      </c>
      <c r="AB262">
        <v>2.3109999999999999</v>
      </c>
      <c r="AC262">
        <v>11.68</v>
      </c>
      <c r="AE262">
        <v>3</v>
      </c>
      <c r="AF262" t="s">
        <v>187</v>
      </c>
      <c r="AG262">
        <v>60</v>
      </c>
      <c r="AK262" t="s">
        <v>102</v>
      </c>
      <c r="AM262" t="s">
        <v>102</v>
      </c>
      <c r="AN262" t="s">
        <v>100</v>
      </c>
      <c r="AO262" t="s">
        <v>102</v>
      </c>
      <c r="AP262" t="s">
        <v>117</v>
      </c>
      <c r="AQ262" t="s">
        <v>104</v>
      </c>
      <c r="AV262" t="s">
        <v>102</v>
      </c>
      <c r="AX262" t="s">
        <v>225</v>
      </c>
      <c r="AZ262" t="s">
        <v>622</v>
      </c>
      <c r="BF262" t="s">
        <v>1386</v>
      </c>
      <c r="BG262" t="s">
        <v>102</v>
      </c>
      <c r="BH262" t="s">
        <v>102</v>
      </c>
      <c r="BI262" t="s">
        <v>102</v>
      </c>
      <c r="BK262" t="s">
        <v>191</v>
      </c>
      <c r="BQ262">
        <v>6</v>
      </c>
      <c r="BR262">
        <v>0.88</v>
      </c>
      <c r="BS262">
        <v>6</v>
      </c>
      <c r="BT262">
        <v>6</v>
      </c>
      <c r="CA262" t="s">
        <v>1387</v>
      </c>
      <c r="CB262" t="s">
        <v>225</v>
      </c>
      <c r="CL262" t="s">
        <v>100</v>
      </c>
      <c r="CM262" t="s">
        <v>102</v>
      </c>
      <c r="CN262" t="s">
        <v>1388</v>
      </c>
      <c r="CO262" s="1">
        <v>42761</v>
      </c>
      <c r="CP262" s="1">
        <v>43634</v>
      </c>
    </row>
    <row r="263" spans="1:94" x14ac:dyDescent="0.25">
      <c r="A263" t="s">
        <v>1389</v>
      </c>
      <c r="B263" t="str">
        <f xml:space="preserve"> "" &amp; 840254048621</f>
        <v>840254048621</v>
      </c>
      <c r="C263" t="s">
        <v>1390</v>
      </c>
      <c r="D263" t="s">
        <v>1391</v>
      </c>
      <c r="E263" t="s">
        <v>1385</v>
      </c>
      <c r="F263" t="s">
        <v>710</v>
      </c>
      <c r="G263">
        <v>1</v>
      </c>
      <c r="H263">
        <v>1</v>
      </c>
      <c r="I263" t="s">
        <v>99</v>
      </c>
      <c r="J263" s="4">
        <v>265</v>
      </c>
      <c r="K263" s="4">
        <v>795</v>
      </c>
      <c r="O263" t="s">
        <v>100</v>
      </c>
      <c r="P263" s="4">
        <v>559.95000000000005</v>
      </c>
      <c r="S263">
        <v>14.5</v>
      </c>
      <c r="U263">
        <v>21</v>
      </c>
      <c r="W263">
        <v>10.210000000000001</v>
      </c>
      <c r="X263">
        <v>1</v>
      </c>
      <c r="Y263">
        <v>11.75</v>
      </c>
      <c r="Z263">
        <v>23</v>
      </c>
      <c r="AA263">
        <v>23</v>
      </c>
      <c r="AB263">
        <v>3.597</v>
      </c>
      <c r="AC263">
        <v>15.23</v>
      </c>
      <c r="AE263">
        <v>8</v>
      </c>
      <c r="AF263" t="s">
        <v>176</v>
      </c>
      <c r="AG263">
        <v>60</v>
      </c>
      <c r="AK263" t="s">
        <v>102</v>
      </c>
      <c r="AM263" t="s">
        <v>102</v>
      </c>
      <c r="AN263" t="s">
        <v>100</v>
      </c>
      <c r="AO263" t="s">
        <v>102</v>
      </c>
      <c r="AP263" t="s">
        <v>117</v>
      </c>
      <c r="AQ263" t="s">
        <v>104</v>
      </c>
      <c r="AV263" t="s">
        <v>102</v>
      </c>
      <c r="AX263" t="s">
        <v>225</v>
      </c>
      <c r="AZ263" t="s">
        <v>622</v>
      </c>
      <c r="BF263" t="s">
        <v>1392</v>
      </c>
      <c r="BG263" t="s">
        <v>102</v>
      </c>
      <c r="BH263" t="s">
        <v>102</v>
      </c>
      <c r="BI263" t="s">
        <v>102</v>
      </c>
      <c r="BK263" t="s">
        <v>191</v>
      </c>
      <c r="BR263">
        <v>0.88</v>
      </c>
      <c r="BS263">
        <v>6</v>
      </c>
      <c r="BT263">
        <v>6</v>
      </c>
      <c r="CA263" t="s">
        <v>1393</v>
      </c>
      <c r="CB263" t="s">
        <v>225</v>
      </c>
      <c r="CL263" t="s">
        <v>100</v>
      </c>
      <c r="CM263" t="s">
        <v>102</v>
      </c>
      <c r="CN263" t="s">
        <v>193</v>
      </c>
      <c r="CO263" s="1">
        <v>42909</v>
      </c>
      <c r="CP263" s="1">
        <v>43634</v>
      </c>
    </row>
    <row r="264" spans="1:94" x14ac:dyDescent="0.25">
      <c r="A264" t="s">
        <v>1394</v>
      </c>
      <c r="B264" t="str">
        <f xml:space="preserve"> "" &amp; 840254048638</f>
        <v>840254048638</v>
      </c>
      <c r="C264" t="s">
        <v>1395</v>
      </c>
      <c r="D264" t="s">
        <v>1396</v>
      </c>
      <c r="E264" t="s">
        <v>1385</v>
      </c>
      <c r="F264" t="s">
        <v>710</v>
      </c>
      <c r="G264">
        <v>1</v>
      </c>
      <c r="H264">
        <v>1</v>
      </c>
      <c r="I264" t="s">
        <v>99</v>
      </c>
      <c r="J264" s="4">
        <v>450</v>
      </c>
      <c r="K264" s="4">
        <v>1350</v>
      </c>
      <c r="O264" t="s">
        <v>100</v>
      </c>
      <c r="P264" s="4">
        <v>944.95</v>
      </c>
      <c r="S264">
        <v>20.5</v>
      </c>
      <c r="T264">
        <v>30.25</v>
      </c>
      <c r="U264">
        <v>30.25</v>
      </c>
      <c r="W264">
        <v>4.5199999999999996</v>
      </c>
      <c r="X264">
        <v>1</v>
      </c>
      <c r="Y264">
        <v>11.75</v>
      </c>
      <c r="Z264">
        <v>32.75</v>
      </c>
      <c r="AA264">
        <v>32.75</v>
      </c>
      <c r="AB264">
        <v>7.2930000000000001</v>
      </c>
      <c r="AC264">
        <v>6.02</v>
      </c>
      <c r="AE264">
        <v>12</v>
      </c>
      <c r="AF264" t="s">
        <v>176</v>
      </c>
      <c r="AG264">
        <v>60</v>
      </c>
      <c r="AK264" t="s">
        <v>102</v>
      </c>
      <c r="AM264" t="s">
        <v>102</v>
      </c>
      <c r="AN264" t="s">
        <v>100</v>
      </c>
      <c r="AO264" t="s">
        <v>102</v>
      </c>
      <c r="AP264" t="s">
        <v>117</v>
      </c>
      <c r="AQ264" t="s">
        <v>104</v>
      </c>
      <c r="AV264" t="s">
        <v>102</v>
      </c>
      <c r="AX264" t="s">
        <v>225</v>
      </c>
      <c r="AZ264" t="s">
        <v>622</v>
      </c>
      <c r="BF264" t="s">
        <v>1397</v>
      </c>
      <c r="BG264" t="s">
        <v>102</v>
      </c>
      <c r="BH264" t="s">
        <v>102</v>
      </c>
      <c r="BI264" t="s">
        <v>102</v>
      </c>
      <c r="BK264" t="s">
        <v>191</v>
      </c>
      <c r="BR264">
        <v>0.88</v>
      </c>
      <c r="BS264">
        <v>6</v>
      </c>
      <c r="BT264">
        <v>6</v>
      </c>
      <c r="CA264" t="s">
        <v>1398</v>
      </c>
      <c r="CB264" t="s">
        <v>225</v>
      </c>
      <c r="CL264" t="s">
        <v>100</v>
      </c>
      <c r="CM264" t="s">
        <v>100</v>
      </c>
      <c r="CN264" t="s">
        <v>193</v>
      </c>
      <c r="CO264" s="1">
        <v>42909</v>
      </c>
      <c r="CP264" s="1">
        <v>43634</v>
      </c>
    </row>
    <row r="265" spans="1:94" x14ac:dyDescent="0.25">
      <c r="A265" t="s">
        <v>1399</v>
      </c>
      <c r="B265" t="str">
        <f xml:space="preserve"> "" &amp; 840254047365</f>
        <v>840254047365</v>
      </c>
      <c r="C265" t="s">
        <v>1400</v>
      </c>
      <c r="D265" t="s">
        <v>1401</v>
      </c>
      <c r="E265" t="s">
        <v>1385</v>
      </c>
      <c r="F265" t="s">
        <v>371</v>
      </c>
      <c r="G265">
        <v>1</v>
      </c>
      <c r="H265">
        <v>1</v>
      </c>
      <c r="I265" t="s">
        <v>99</v>
      </c>
      <c r="J265" s="4">
        <v>350</v>
      </c>
      <c r="K265" s="4">
        <v>1050</v>
      </c>
      <c r="O265" t="s">
        <v>100</v>
      </c>
      <c r="P265" s="4">
        <v>734.95</v>
      </c>
      <c r="S265">
        <v>24.25</v>
      </c>
      <c r="U265">
        <v>21</v>
      </c>
      <c r="W265">
        <v>16.420000000000002</v>
      </c>
      <c r="X265">
        <v>1</v>
      </c>
      <c r="Y265">
        <v>11.75</v>
      </c>
      <c r="Z265">
        <v>23</v>
      </c>
      <c r="AA265">
        <v>23</v>
      </c>
      <c r="AB265">
        <v>3.597</v>
      </c>
      <c r="AC265">
        <v>22.75</v>
      </c>
      <c r="AE265">
        <v>8</v>
      </c>
      <c r="AF265" t="s">
        <v>187</v>
      </c>
      <c r="AG265">
        <v>60</v>
      </c>
      <c r="AK265" t="s">
        <v>102</v>
      </c>
      <c r="AM265" t="s">
        <v>102</v>
      </c>
      <c r="AN265" t="s">
        <v>100</v>
      </c>
      <c r="AO265" t="s">
        <v>102</v>
      </c>
      <c r="AP265" t="s">
        <v>117</v>
      </c>
      <c r="AQ265" t="s">
        <v>104</v>
      </c>
      <c r="AV265" t="s">
        <v>102</v>
      </c>
      <c r="AX265" t="s">
        <v>225</v>
      </c>
      <c r="AZ265" t="s">
        <v>622</v>
      </c>
      <c r="BF265" t="s">
        <v>1402</v>
      </c>
      <c r="BG265" t="s">
        <v>102</v>
      </c>
      <c r="BH265" t="s">
        <v>102</v>
      </c>
      <c r="BI265" t="s">
        <v>102</v>
      </c>
      <c r="BK265" t="s">
        <v>107</v>
      </c>
      <c r="BQ265">
        <v>7</v>
      </c>
      <c r="BR265">
        <v>2</v>
      </c>
      <c r="BS265">
        <v>7</v>
      </c>
      <c r="BT265">
        <v>7</v>
      </c>
      <c r="CA265" t="s">
        <v>1403</v>
      </c>
      <c r="CB265" t="s">
        <v>225</v>
      </c>
      <c r="CL265" t="s">
        <v>100</v>
      </c>
      <c r="CM265" t="s">
        <v>100</v>
      </c>
      <c r="CN265" t="s">
        <v>1388</v>
      </c>
      <c r="CO265" s="1">
        <v>42761</v>
      </c>
      <c r="CP265" s="1">
        <v>43634</v>
      </c>
    </row>
    <row r="266" spans="1:94" x14ac:dyDescent="0.25">
      <c r="A266" t="s">
        <v>1404</v>
      </c>
      <c r="B266" t="str">
        <f xml:space="preserve"> "" &amp; 840254047426</f>
        <v>840254047426</v>
      </c>
      <c r="C266" t="s">
        <v>1405</v>
      </c>
      <c r="D266" t="s">
        <v>1406</v>
      </c>
      <c r="E266" t="s">
        <v>1385</v>
      </c>
      <c r="F266" t="s">
        <v>828</v>
      </c>
      <c r="G266">
        <v>1</v>
      </c>
      <c r="H266">
        <v>1</v>
      </c>
      <c r="I266" t="s">
        <v>99</v>
      </c>
      <c r="J266" s="4">
        <v>550</v>
      </c>
      <c r="K266" s="4">
        <v>1650</v>
      </c>
      <c r="O266" t="s">
        <v>100</v>
      </c>
      <c r="P266" s="4">
        <v>1154.95</v>
      </c>
      <c r="S266">
        <v>18.25</v>
      </c>
      <c r="T266">
        <v>38.25</v>
      </c>
      <c r="U266">
        <v>16</v>
      </c>
      <c r="W266">
        <v>18.34</v>
      </c>
      <c r="X266">
        <v>1</v>
      </c>
      <c r="Y266">
        <v>11.75</v>
      </c>
      <c r="Z266">
        <v>41</v>
      </c>
      <c r="AA266">
        <v>18.5</v>
      </c>
      <c r="AB266">
        <v>5.1580000000000004</v>
      </c>
      <c r="AC266">
        <v>25.64</v>
      </c>
      <c r="AE266">
        <v>10</v>
      </c>
      <c r="AF266" t="s">
        <v>187</v>
      </c>
      <c r="AG266">
        <v>60</v>
      </c>
      <c r="AK266" t="s">
        <v>100</v>
      </c>
      <c r="AM266" t="s">
        <v>102</v>
      </c>
      <c r="AN266" t="s">
        <v>100</v>
      </c>
      <c r="AO266" t="s">
        <v>102</v>
      </c>
      <c r="AP266" t="s">
        <v>117</v>
      </c>
      <c r="AQ266" t="s">
        <v>104</v>
      </c>
      <c r="AV266" t="s">
        <v>102</v>
      </c>
      <c r="AX266" t="s">
        <v>225</v>
      </c>
      <c r="AZ266" t="s">
        <v>622</v>
      </c>
      <c r="BF266" t="s">
        <v>1407</v>
      </c>
      <c r="BG266" t="s">
        <v>102</v>
      </c>
      <c r="BH266" t="s">
        <v>102</v>
      </c>
      <c r="BI266" t="s">
        <v>102</v>
      </c>
      <c r="BK266" t="s">
        <v>107</v>
      </c>
      <c r="BR266">
        <v>0.88</v>
      </c>
      <c r="BS266">
        <v>8</v>
      </c>
      <c r="BT266">
        <v>4.5</v>
      </c>
      <c r="CA266" t="s">
        <v>1408</v>
      </c>
      <c r="CB266" t="s">
        <v>225</v>
      </c>
      <c r="CL266" t="s">
        <v>100</v>
      </c>
      <c r="CM266" t="s">
        <v>100</v>
      </c>
      <c r="CN266" t="s">
        <v>193</v>
      </c>
      <c r="CO266" s="1">
        <v>42761</v>
      </c>
      <c r="CP266" s="1">
        <v>43634</v>
      </c>
    </row>
    <row r="267" spans="1:94" x14ac:dyDescent="0.25">
      <c r="A267" t="s">
        <v>1409</v>
      </c>
      <c r="B267" t="str">
        <f xml:space="preserve"> "" &amp; 840254047358</f>
        <v>840254047358</v>
      </c>
      <c r="C267" t="s">
        <v>1410</v>
      </c>
      <c r="D267" t="s">
        <v>1411</v>
      </c>
      <c r="E267" t="s">
        <v>1385</v>
      </c>
      <c r="F267" t="s">
        <v>98</v>
      </c>
      <c r="G267">
        <v>1</v>
      </c>
      <c r="H267">
        <v>1</v>
      </c>
      <c r="I267" t="s">
        <v>99</v>
      </c>
      <c r="J267" s="4">
        <v>450</v>
      </c>
      <c r="K267" s="4">
        <v>1350</v>
      </c>
      <c r="O267" t="s">
        <v>100</v>
      </c>
      <c r="P267" s="4">
        <v>944.95</v>
      </c>
      <c r="S267">
        <v>28.75</v>
      </c>
      <c r="U267">
        <v>30.25</v>
      </c>
      <c r="W267">
        <v>20.55</v>
      </c>
      <c r="X267">
        <v>1</v>
      </c>
      <c r="Y267">
        <v>11.75</v>
      </c>
      <c r="Z267">
        <v>32.75</v>
      </c>
      <c r="AA267">
        <v>32.75</v>
      </c>
      <c r="AB267">
        <v>7.2930000000000001</v>
      </c>
      <c r="AC267">
        <v>31.72</v>
      </c>
      <c r="AE267">
        <v>12</v>
      </c>
      <c r="AF267" t="s">
        <v>187</v>
      </c>
      <c r="AG267">
        <v>60</v>
      </c>
      <c r="AK267" t="s">
        <v>102</v>
      </c>
      <c r="AM267" t="s">
        <v>102</v>
      </c>
      <c r="AN267" t="s">
        <v>100</v>
      </c>
      <c r="AO267" t="s">
        <v>102</v>
      </c>
      <c r="AP267" t="s">
        <v>117</v>
      </c>
      <c r="AQ267" t="s">
        <v>104</v>
      </c>
      <c r="AV267" t="s">
        <v>102</v>
      </c>
      <c r="AX267" t="s">
        <v>225</v>
      </c>
      <c r="AZ267" t="s">
        <v>622</v>
      </c>
      <c r="BF267" t="s">
        <v>1412</v>
      </c>
      <c r="BG267" t="s">
        <v>102</v>
      </c>
      <c r="BH267" t="s">
        <v>102</v>
      </c>
      <c r="BI267" t="s">
        <v>102</v>
      </c>
      <c r="BK267" t="s">
        <v>107</v>
      </c>
      <c r="BR267">
        <v>2</v>
      </c>
      <c r="BS267">
        <v>7</v>
      </c>
      <c r="BT267">
        <v>7</v>
      </c>
      <c r="CA267" t="s">
        <v>1413</v>
      </c>
      <c r="CB267" t="s">
        <v>225</v>
      </c>
      <c r="CL267" t="s">
        <v>100</v>
      </c>
      <c r="CM267" t="s">
        <v>100</v>
      </c>
      <c r="CN267" t="s">
        <v>193</v>
      </c>
      <c r="CO267" s="1">
        <v>42789</v>
      </c>
      <c r="CP267" s="1">
        <v>43634</v>
      </c>
    </row>
    <row r="268" spans="1:94" x14ac:dyDescent="0.25">
      <c r="A268" t="s">
        <v>1414</v>
      </c>
      <c r="B268" t="str">
        <f xml:space="preserve"> "" &amp; 840254047372</f>
        <v>840254047372</v>
      </c>
      <c r="C268" t="s">
        <v>1415</v>
      </c>
      <c r="D268" t="s">
        <v>1416</v>
      </c>
      <c r="E268" t="s">
        <v>1385</v>
      </c>
      <c r="F268" t="s">
        <v>98</v>
      </c>
      <c r="G268">
        <v>1</v>
      </c>
      <c r="H268">
        <v>1</v>
      </c>
      <c r="I268" t="s">
        <v>99</v>
      </c>
      <c r="J268" s="4">
        <v>795</v>
      </c>
      <c r="K268" s="4">
        <v>2385</v>
      </c>
      <c r="O268" t="s">
        <v>100</v>
      </c>
      <c r="P268" s="4">
        <v>1669.95</v>
      </c>
      <c r="S268">
        <v>43.75</v>
      </c>
      <c r="U268">
        <v>37.5</v>
      </c>
      <c r="W268">
        <v>34.590000000000003</v>
      </c>
      <c r="X268">
        <v>1</v>
      </c>
      <c r="Y268">
        <v>12.75</v>
      </c>
      <c r="Z268">
        <v>40.5</v>
      </c>
      <c r="AA268">
        <v>40.5</v>
      </c>
      <c r="AB268">
        <v>12.103</v>
      </c>
      <c r="AC268">
        <v>47.55</v>
      </c>
      <c r="AE268">
        <v>24</v>
      </c>
      <c r="AF268" t="s">
        <v>187</v>
      </c>
      <c r="AG268">
        <v>60</v>
      </c>
      <c r="AK268" t="s">
        <v>102</v>
      </c>
      <c r="AM268" t="s">
        <v>102</v>
      </c>
      <c r="AN268" t="s">
        <v>100</v>
      </c>
      <c r="AO268" t="s">
        <v>102</v>
      </c>
      <c r="AP268" t="s">
        <v>117</v>
      </c>
      <c r="AQ268" t="s">
        <v>104</v>
      </c>
      <c r="AV268" t="s">
        <v>100</v>
      </c>
      <c r="AX268" t="s">
        <v>225</v>
      </c>
      <c r="AZ268" t="s">
        <v>622</v>
      </c>
      <c r="BF268" t="s">
        <v>1417</v>
      </c>
      <c r="BG268" t="s">
        <v>102</v>
      </c>
      <c r="BH268" t="s">
        <v>102</v>
      </c>
      <c r="BI268" t="s">
        <v>102</v>
      </c>
      <c r="BK268" t="s">
        <v>107</v>
      </c>
      <c r="BQ268">
        <v>7</v>
      </c>
      <c r="BR268">
        <v>2</v>
      </c>
      <c r="BS268">
        <v>7</v>
      </c>
      <c r="BT268">
        <v>7</v>
      </c>
      <c r="CA268" t="s">
        <v>1418</v>
      </c>
      <c r="CB268" t="s">
        <v>225</v>
      </c>
      <c r="CL268" t="s">
        <v>100</v>
      </c>
      <c r="CM268" t="s">
        <v>100</v>
      </c>
      <c r="CN268" t="s">
        <v>193</v>
      </c>
      <c r="CO268" s="1">
        <v>42761</v>
      </c>
      <c r="CP268" s="1">
        <v>43634</v>
      </c>
    </row>
    <row r="269" spans="1:94" x14ac:dyDescent="0.25">
      <c r="A269" t="s">
        <v>1419</v>
      </c>
      <c r="B269" t="str">
        <f xml:space="preserve"> "" &amp; 840254045903</f>
        <v>840254045903</v>
      </c>
      <c r="C269" t="s">
        <v>597</v>
      </c>
      <c r="D269" t="s">
        <v>1420</v>
      </c>
      <c r="E269" t="s">
        <v>1421</v>
      </c>
      <c r="F269" t="s">
        <v>179</v>
      </c>
      <c r="G269">
        <v>1</v>
      </c>
      <c r="H269">
        <v>1</v>
      </c>
      <c r="I269" t="s">
        <v>99</v>
      </c>
      <c r="J269" s="4">
        <v>325</v>
      </c>
      <c r="K269" s="4">
        <v>975</v>
      </c>
      <c r="O269" t="s">
        <v>100</v>
      </c>
      <c r="P269" s="4">
        <v>684.95</v>
      </c>
      <c r="S269">
        <v>28.5</v>
      </c>
      <c r="U269">
        <v>5.75</v>
      </c>
      <c r="V269">
        <v>7.5</v>
      </c>
      <c r="W269">
        <v>8.9700000000000006</v>
      </c>
      <c r="X269">
        <v>1</v>
      </c>
      <c r="Y269">
        <v>12</v>
      </c>
      <c r="Z269">
        <v>17</v>
      </c>
      <c r="AA269">
        <v>12</v>
      </c>
      <c r="AB269">
        <v>1.417</v>
      </c>
      <c r="AC269">
        <v>11.02</v>
      </c>
      <c r="AE269">
        <v>1</v>
      </c>
      <c r="AF269" t="s">
        <v>167</v>
      </c>
      <c r="AG269">
        <v>60</v>
      </c>
      <c r="AK269" t="s">
        <v>102</v>
      </c>
      <c r="AM269" t="s">
        <v>102</v>
      </c>
      <c r="AN269" t="s">
        <v>100</v>
      </c>
      <c r="AO269" t="s">
        <v>102</v>
      </c>
      <c r="AP269" t="s">
        <v>117</v>
      </c>
      <c r="AQ269" t="s">
        <v>104</v>
      </c>
      <c r="AV269" t="s">
        <v>102</v>
      </c>
      <c r="AX269" t="s">
        <v>266</v>
      </c>
      <c r="AZ269" t="s">
        <v>622</v>
      </c>
      <c r="BB269" t="s">
        <v>442</v>
      </c>
      <c r="BC269" t="s">
        <v>443</v>
      </c>
      <c r="BD269" t="s">
        <v>1422</v>
      </c>
      <c r="BF269" t="s">
        <v>1423</v>
      </c>
      <c r="BG269" t="s">
        <v>102</v>
      </c>
      <c r="BH269" t="s">
        <v>102</v>
      </c>
      <c r="BI269" t="s">
        <v>102</v>
      </c>
      <c r="BK269" t="s">
        <v>191</v>
      </c>
      <c r="BL269" t="s">
        <v>180</v>
      </c>
      <c r="BR269">
        <v>0.75</v>
      </c>
      <c r="BT269">
        <v>5.5</v>
      </c>
      <c r="CA269" t="s">
        <v>1424</v>
      </c>
      <c r="CB269" t="s">
        <v>266</v>
      </c>
      <c r="CL269" t="s">
        <v>100</v>
      </c>
      <c r="CM269" t="s">
        <v>102</v>
      </c>
      <c r="CN269" t="s">
        <v>1425</v>
      </c>
      <c r="CO269" s="1">
        <v>39595</v>
      </c>
      <c r="CP269" s="1">
        <v>43634</v>
      </c>
    </row>
    <row r="270" spans="1:94" x14ac:dyDescent="0.25">
      <c r="A270" t="s">
        <v>1426</v>
      </c>
      <c r="B270" t="str">
        <f xml:space="preserve"> "" &amp; 840254045897</f>
        <v>840254045897</v>
      </c>
      <c r="C270" t="s">
        <v>1038</v>
      </c>
      <c r="D270" t="s">
        <v>1427</v>
      </c>
      <c r="E270" t="s">
        <v>1421</v>
      </c>
      <c r="F270" t="s">
        <v>98</v>
      </c>
      <c r="G270">
        <v>1</v>
      </c>
      <c r="H270">
        <v>1</v>
      </c>
      <c r="I270" t="s">
        <v>99</v>
      </c>
      <c r="J270" s="4">
        <v>1750</v>
      </c>
      <c r="K270" s="4">
        <v>5250</v>
      </c>
      <c r="S270">
        <v>39.75</v>
      </c>
      <c r="T270">
        <v>34</v>
      </c>
      <c r="U270">
        <v>34</v>
      </c>
      <c r="W270">
        <v>78.150000000000006</v>
      </c>
      <c r="X270">
        <v>1</v>
      </c>
      <c r="Y270">
        <v>33.5</v>
      </c>
      <c r="Z270">
        <v>37</v>
      </c>
      <c r="AA270">
        <v>22</v>
      </c>
      <c r="AB270">
        <v>15.781000000000001</v>
      </c>
      <c r="AC270">
        <v>90.61</v>
      </c>
      <c r="AE270">
        <v>5</v>
      </c>
      <c r="AF270" t="s">
        <v>167</v>
      </c>
      <c r="AG270">
        <v>60</v>
      </c>
      <c r="AK270" t="s">
        <v>102</v>
      </c>
      <c r="AL270">
        <v>5</v>
      </c>
      <c r="AM270" t="s">
        <v>102</v>
      </c>
      <c r="AN270" t="s">
        <v>100</v>
      </c>
      <c r="AO270" t="s">
        <v>102</v>
      </c>
      <c r="AP270" t="s">
        <v>103</v>
      </c>
      <c r="AQ270" t="s">
        <v>104</v>
      </c>
      <c r="AV270" t="s">
        <v>102</v>
      </c>
      <c r="AX270" t="s">
        <v>266</v>
      </c>
      <c r="AZ270" t="s">
        <v>622</v>
      </c>
      <c r="BB270" t="s">
        <v>442</v>
      </c>
      <c r="BC270" t="s">
        <v>443</v>
      </c>
      <c r="BD270" t="s">
        <v>1422</v>
      </c>
      <c r="BF270" t="s">
        <v>1428</v>
      </c>
      <c r="BG270" t="s">
        <v>102</v>
      </c>
      <c r="BH270" t="s">
        <v>102</v>
      </c>
      <c r="BI270" t="s">
        <v>102</v>
      </c>
      <c r="BK270" t="s">
        <v>107</v>
      </c>
      <c r="BR270">
        <v>2</v>
      </c>
      <c r="BT270">
        <v>5.38</v>
      </c>
      <c r="CA270" t="s">
        <v>1429</v>
      </c>
      <c r="CB270" t="s">
        <v>266</v>
      </c>
      <c r="CL270" t="s">
        <v>100</v>
      </c>
      <c r="CM270" t="s">
        <v>102</v>
      </c>
      <c r="CN270" t="s">
        <v>1430</v>
      </c>
      <c r="CO270" s="1">
        <v>39596</v>
      </c>
      <c r="CP270" s="1">
        <v>43634</v>
      </c>
    </row>
    <row r="271" spans="1:94" x14ac:dyDescent="0.25">
      <c r="A271" t="s">
        <v>1431</v>
      </c>
      <c r="B271" t="str">
        <f xml:space="preserve"> "" &amp; 840254042865</f>
        <v>840254042865</v>
      </c>
      <c r="C271" t="s">
        <v>911</v>
      </c>
      <c r="D271" t="s">
        <v>1432</v>
      </c>
      <c r="E271" t="s">
        <v>603</v>
      </c>
      <c r="F271" t="s">
        <v>371</v>
      </c>
      <c r="G271">
        <v>1</v>
      </c>
      <c r="H271">
        <v>1</v>
      </c>
      <c r="I271" t="s">
        <v>99</v>
      </c>
      <c r="J271" s="4">
        <v>450</v>
      </c>
      <c r="K271" s="4">
        <v>1350</v>
      </c>
      <c r="O271" t="s">
        <v>100</v>
      </c>
      <c r="P271" s="4">
        <v>944.95</v>
      </c>
      <c r="S271">
        <v>24.75</v>
      </c>
      <c r="U271">
        <v>15.5</v>
      </c>
      <c r="W271">
        <v>13.29</v>
      </c>
      <c r="X271">
        <v>1</v>
      </c>
      <c r="Y271">
        <v>29</v>
      </c>
      <c r="Z271">
        <v>15.25</v>
      </c>
      <c r="AA271">
        <v>15.25</v>
      </c>
      <c r="AB271">
        <v>3.903</v>
      </c>
      <c r="AC271">
        <v>17.97</v>
      </c>
      <c r="AE271">
        <v>4</v>
      </c>
      <c r="AF271" t="s">
        <v>161</v>
      </c>
      <c r="AG271">
        <v>60</v>
      </c>
      <c r="AK271" t="s">
        <v>102</v>
      </c>
      <c r="AM271" t="s">
        <v>102</v>
      </c>
      <c r="AN271" t="s">
        <v>100</v>
      </c>
      <c r="AO271" t="s">
        <v>102</v>
      </c>
      <c r="AP271" t="s">
        <v>117</v>
      </c>
      <c r="AQ271" t="s">
        <v>104</v>
      </c>
      <c r="AV271" t="s">
        <v>102</v>
      </c>
      <c r="AX271" t="s">
        <v>605</v>
      </c>
      <c r="AZ271" t="s">
        <v>163</v>
      </c>
      <c r="BF271" t="s">
        <v>1433</v>
      </c>
      <c r="BG271" t="s">
        <v>102</v>
      </c>
      <c r="BH271" t="s">
        <v>102</v>
      </c>
      <c r="BI271" t="s">
        <v>102</v>
      </c>
      <c r="BK271" t="s">
        <v>107</v>
      </c>
      <c r="BR271">
        <v>1.1299999999999999</v>
      </c>
      <c r="BT271">
        <v>6.75</v>
      </c>
      <c r="CA271" t="s">
        <v>1434</v>
      </c>
      <c r="CB271" t="s">
        <v>605</v>
      </c>
      <c r="CL271" t="s">
        <v>102</v>
      </c>
      <c r="CM271" t="s">
        <v>100</v>
      </c>
      <c r="CN271" t="s">
        <v>1435</v>
      </c>
      <c r="CO271" s="1">
        <v>41600</v>
      </c>
      <c r="CP271" s="1">
        <v>43634</v>
      </c>
    </row>
    <row r="272" spans="1:94" x14ac:dyDescent="0.25">
      <c r="A272" t="s">
        <v>1436</v>
      </c>
      <c r="B272" t="str">
        <f xml:space="preserve"> "" &amp; 840254041820</f>
        <v>840254041820</v>
      </c>
      <c r="C272" t="s">
        <v>911</v>
      </c>
      <c r="D272" t="s">
        <v>1432</v>
      </c>
      <c r="E272" t="s">
        <v>603</v>
      </c>
      <c r="F272" t="s">
        <v>371</v>
      </c>
      <c r="G272">
        <v>1</v>
      </c>
      <c r="H272">
        <v>1</v>
      </c>
      <c r="I272" t="s">
        <v>99</v>
      </c>
      <c r="J272" s="4">
        <v>750</v>
      </c>
      <c r="K272" s="4">
        <v>2250</v>
      </c>
      <c r="O272" t="s">
        <v>100</v>
      </c>
      <c r="P272" s="4">
        <v>1574.95</v>
      </c>
      <c r="S272">
        <v>37.25</v>
      </c>
      <c r="U272">
        <v>18</v>
      </c>
      <c r="W272">
        <v>26.46</v>
      </c>
      <c r="X272">
        <v>1</v>
      </c>
      <c r="Y272">
        <v>27</v>
      </c>
      <c r="Z272">
        <v>19</v>
      </c>
      <c r="AA272">
        <v>19</v>
      </c>
      <c r="AB272">
        <v>5.641</v>
      </c>
      <c r="AC272">
        <v>32.94</v>
      </c>
      <c r="AE272">
        <v>4</v>
      </c>
      <c r="AF272" t="s">
        <v>1147</v>
      </c>
      <c r="AG272">
        <v>60</v>
      </c>
      <c r="AK272" t="s">
        <v>102</v>
      </c>
      <c r="AM272" t="s">
        <v>102</v>
      </c>
      <c r="AN272" t="s">
        <v>100</v>
      </c>
      <c r="AO272" t="s">
        <v>102</v>
      </c>
      <c r="AP272" t="s">
        <v>117</v>
      </c>
      <c r="AQ272" t="s">
        <v>104</v>
      </c>
      <c r="AV272" t="s">
        <v>102</v>
      </c>
      <c r="AX272" t="s">
        <v>605</v>
      </c>
      <c r="AZ272" t="s">
        <v>163</v>
      </c>
      <c r="BF272" t="s">
        <v>1437</v>
      </c>
      <c r="BG272" t="s">
        <v>102</v>
      </c>
      <c r="BH272" t="s">
        <v>102</v>
      </c>
      <c r="BI272" t="s">
        <v>102</v>
      </c>
      <c r="BK272" t="s">
        <v>1149</v>
      </c>
      <c r="BR272">
        <v>1.1299999999999999</v>
      </c>
      <c r="BT272">
        <v>6.75</v>
      </c>
      <c r="CA272" t="s">
        <v>1438</v>
      </c>
      <c r="CB272" t="s">
        <v>605</v>
      </c>
      <c r="CL272" t="s">
        <v>100</v>
      </c>
      <c r="CM272" t="s">
        <v>100</v>
      </c>
      <c r="CN272" t="s">
        <v>1439</v>
      </c>
      <c r="CO272" s="1">
        <v>41232</v>
      </c>
      <c r="CP272" s="1">
        <v>43634</v>
      </c>
    </row>
    <row r="273" spans="1:94" x14ac:dyDescent="0.25">
      <c r="A273" t="s">
        <v>1440</v>
      </c>
      <c r="B273" t="str">
        <f xml:space="preserve"> "" &amp; 840254041837</f>
        <v>840254041837</v>
      </c>
      <c r="C273" t="s">
        <v>864</v>
      </c>
      <c r="D273" t="s">
        <v>1441</v>
      </c>
      <c r="E273" t="s">
        <v>603</v>
      </c>
      <c r="F273" t="s">
        <v>828</v>
      </c>
      <c r="G273">
        <v>1</v>
      </c>
      <c r="H273">
        <v>1</v>
      </c>
      <c r="I273" t="s">
        <v>99</v>
      </c>
      <c r="J273" s="4">
        <v>575</v>
      </c>
      <c r="K273" s="4">
        <v>1725</v>
      </c>
      <c r="O273" t="s">
        <v>100</v>
      </c>
      <c r="P273" s="4">
        <v>1207.95</v>
      </c>
      <c r="S273">
        <v>29.25</v>
      </c>
      <c r="T273">
        <v>41</v>
      </c>
      <c r="U273">
        <v>7.5</v>
      </c>
      <c r="W273">
        <v>16.53</v>
      </c>
      <c r="X273">
        <v>1</v>
      </c>
      <c r="Y273">
        <v>9.5</v>
      </c>
      <c r="Z273">
        <v>43.75</v>
      </c>
      <c r="AA273">
        <v>11.5</v>
      </c>
      <c r="AB273">
        <v>2.766</v>
      </c>
      <c r="AC273">
        <v>19.559999999999999</v>
      </c>
      <c r="AE273">
        <v>6</v>
      </c>
      <c r="AF273" t="s">
        <v>478</v>
      </c>
      <c r="AG273">
        <v>60</v>
      </c>
      <c r="AK273" t="s">
        <v>102</v>
      </c>
      <c r="AM273" t="s">
        <v>102</v>
      </c>
      <c r="AN273" t="s">
        <v>100</v>
      </c>
      <c r="AO273" t="s">
        <v>102</v>
      </c>
      <c r="AP273" t="s">
        <v>117</v>
      </c>
      <c r="AQ273" t="s">
        <v>104</v>
      </c>
      <c r="AV273" t="s">
        <v>102</v>
      </c>
      <c r="AX273" t="s">
        <v>605</v>
      </c>
      <c r="AZ273" t="s">
        <v>163</v>
      </c>
      <c r="BF273" t="s">
        <v>1442</v>
      </c>
      <c r="BG273" t="s">
        <v>102</v>
      </c>
      <c r="BH273" t="s">
        <v>102</v>
      </c>
      <c r="BI273" t="s">
        <v>102</v>
      </c>
      <c r="BK273" t="s">
        <v>1149</v>
      </c>
      <c r="BR273">
        <v>1.1299999999999999</v>
      </c>
      <c r="BT273">
        <v>6.75</v>
      </c>
      <c r="CA273" t="s">
        <v>1443</v>
      </c>
      <c r="CB273" t="s">
        <v>605</v>
      </c>
      <c r="CL273" t="s">
        <v>100</v>
      </c>
      <c r="CM273" t="s">
        <v>100</v>
      </c>
      <c r="CN273" t="s">
        <v>1439</v>
      </c>
      <c r="CO273" s="1">
        <v>41232</v>
      </c>
      <c r="CP273" s="1">
        <v>43634</v>
      </c>
    </row>
    <row r="274" spans="1:94" x14ac:dyDescent="0.25">
      <c r="A274" t="s">
        <v>1444</v>
      </c>
      <c r="B274" t="str">
        <f xml:space="preserve"> "" &amp; 840254041813</f>
        <v>840254041813</v>
      </c>
      <c r="C274" t="s">
        <v>111</v>
      </c>
      <c r="D274" t="s">
        <v>1445</v>
      </c>
      <c r="E274" t="s">
        <v>603</v>
      </c>
      <c r="F274" t="s">
        <v>98</v>
      </c>
      <c r="G274">
        <v>1</v>
      </c>
      <c r="H274">
        <v>1</v>
      </c>
      <c r="I274" t="s">
        <v>99</v>
      </c>
      <c r="J274" s="4">
        <v>795</v>
      </c>
      <c r="K274" s="4">
        <v>2385</v>
      </c>
      <c r="O274" t="s">
        <v>100</v>
      </c>
      <c r="P274" s="4">
        <v>1669.95</v>
      </c>
      <c r="S274">
        <v>28.75</v>
      </c>
      <c r="U274">
        <v>32.25</v>
      </c>
      <c r="W274">
        <v>28</v>
      </c>
      <c r="X274">
        <v>1</v>
      </c>
      <c r="Y274">
        <v>9</v>
      </c>
      <c r="Z274">
        <v>31.75</v>
      </c>
      <c r="AA274">
        <v>31.75</v>
      </c>
      <c r="AB274">
        <v>5.25</v>
      </c>
      <c r="AC274">
        <v>37.08</v>
      </c>
      <c r="AE274">
        <v>8</v>
      </c>
      <c r="AF274" t="s">
        <v>1147</v>
      </c>
      <c r="AG274">
        <v>60</v>
      </c>
      <c r="AK274" t="s">
        <v>102</v>
      </c>
      <c r="AM274" t="s">
        <v>102</v>
      </c>
      <c r="AN274" t="s">
        <v>100</v>
      </c>
      <c r="AO274" t="s">
        <v>102</v>
      </c>
      <c r="AP274" t="s">
        <v>103</v>
      </c>
      <c r="AQ274" t="s">
        <v>104</v>
      </c>
      <c r="AV274" t="s">
        <v>102</v>
      </c>
      <c r="AX274" t="s">
        <v>605</v>
      </c>
      <c r="AZ274" t="s">
        <v>163</v>
      </c>
      <c r="BF274" t="s">
        <v>1446</v>
      </c>
      <c r="BG274" t="s">
        <v>102</v>
      </c>
      <c r="BH274" t="s">
        <v>102</v>
      </c>
      <c r="BI274" t="s">
        <v>102</v>
      </c>
      <c r="BK274" t="s">
        <v>1149</v>
      </c>
      <c r="BR274">
        <v>1.1299999999999999</v>
      </c>
      <c r="BT274">
        <v>6.75</v>
      </c>
      <c r="CA274" t="s">
        <v>1447</v>
      </c>
      <c r="CB274" t="s">
        <v>605</v>
      </c>
      <c r="CL274" t="s">
        <v>100</v>
      </c>
      <c r="CM274" t="s">
        <v>100</v>
      </c>
      <c r="CN274" t="s">
        <v>1439</v>
      </c>
      <c r="CO274" s="1">
        <v>41232</v>
      </c>
      <c r="CP274" s="1">
        <v>43634</v>
      </c>
    </row>
    <row r="275" spans="1:94" x14ac:dyDescent="0.25">
      <c r="A275" t="s">
        <v>1449</v>
      </c>
      <c r="B275" t="str">
        <f xml:space="preserve"> "" &amp; 840254045651</f>
        <v>840254045651</v>
      </c>
      <c r="C275" t="s">
        <v>1450</v>
      </c>
      <c r="D275" t="s">
        <v>1451</v>
      </c>
      <c r="E275" t="s">
        <v>620</v>
      </c>
      <c r="F275" t="s">
        <v>371</v>
      </c>
      <c r="G275">
        <v>1</v>
      </c>
      <c r="H275">
        <v>1</v>
      </c>
      <c r="I275" t="s">
        <v>99</v>
      </c>
      <c r="J275" s="4">
        <v>110</v>
      </c>
      <c r="K275" s="4">
        <v>330</v>
      </c>
      <c r="O275" t="s">
        <v>100</v>
      </c>
      <c r="P275" s="4">
        <v>229.95</v>
      </c>
      <c r="S275">
        <v>15.25</v>
      </c>
      <c r="T275">
        <v>6</v>
      </c>
      <c r="U275">
        <v>6</v>
      </c>
      <c r="W275">
        <v>4.8099999999999996</v>
      </c>
      <c r="X275">
        <v>1</v>
      </c>
      <c r="Y275">
        <v>14</v>
      </c>
      <c r="Z275">
        <v>12.75</v>
      </c>
      <c r="AA275">
        <v>8</v>
      </c>
      <c r="AB275">
        <v>0.82599999999999996</v>
      </c>
      <c r="AC275">
        <v>6.5</v>
      </c>
      <c r="AE275">
        <v>1</v>
      </c>
      <c r="AF275" t="s">
        <v>198</v>
      </c>
      <c r="AG275">
        <v>100</v>
      </c>
      <c r="AK275" t="s">
        <v>102</v>
      </c>
      <c r="AM275" t="s">
        <v>102</v>
      </c>
      <c r="AN275" t="s">
        <v>100</v>
      </c>
      <c r="AO275" t="s">
        <v>102</v>
      </c>
      <c r="AP275" t="s">
        <v>117</v>
      </c>
      <c r="AQ275" t="s">
        <v>104</v>
      </c>
      <c r="AV275" t="s">
        <v>102</v>
      </c>
      <c r="AX275" t="s">
        <v>621</v>
      </c>
      <c r="AZ275" t="s">
        <v>622</v>
      </c>
      <c r="BB275" t="s">
        <v>118</v>
      </c>
      <c r="BC275" t="s">
        <v>129</v>
      </c>
      <c r="BF275" t="s">
        <v>1452</v>
      </c>
      <c r="BG275" t="s">
        <v>102</v>
      </c>
      <c r="BH275" t="s">
        <v>102</v>
      </c>
      <c r="BI275" t="s">
        <v>102</v>
      </c>
      <c r="BK275" t="s">
        <v>107</v>
      </c>
      <c r="BQ275">
        <v>4.63</v>
      </c>
      <c r="BR275">
        <v>1.38</v>
      </c>
      <c r="BS275">
        <v>4.63</v>
      </c>
      <c r="BT275">
        <v>4.63</v>
      </c>
      <c r="CA275" t="s">
        <v>1453</v>
      </c>
      <c r="CB275" t="s">
        <v>621</v>
      </c>
      <c r="CL275" t="s">
        <v>100</v>
      </c>
      <c r="CM275" t="s">
        <v>100</v>
      </c>
      <c r="CN275" t="s">
        <v>229</v>
      </c>
      <c r="CO275" s="1">
        <v>40184</v>
      </c>
      <c r="CP275" s="1">
        <v>43634</v>
      </c>
    </row>
    <row r="276" spans="1:94" x14ac:dyDescent="0.25">
      <c r="A276" t="s">
        <v>1454</v>
      </c>
      <c r="B276" t="str">
        <f xml:space="preserve"> "" &amp; 840254045729</f>
        <v>840254045729</v>
      </c>
      <c r="C276" t="s">
        <v>381</v>
      </c>
      <c r="D276" t="s">
        <v>1448</v>
      </c>
      <c r="E276" t="s">
        <v>620</v>
      </c>
      <c r="F276" t="s">
        <v>371</v>
      </c>
      <c r="G276">
        <v>1</v>
      </c>
      <c r="H276">
        <v>1</v>
      </c>
      <c r="I276" t="s">
        <v>99</v>
      </c>
      <c r="J276" s="4">
        <v>450</v>
      </c>
      <c r="K276" s="4">
        <v>1350</v>
      </c>
      <c r="O276" t="s">
        <v>100</v>
      </c>
      <c r="P276" s="4">
        <v>944.95</v>
      </c>
      <c r="S276">
        <v>27.25</v>
      </c>
      <c r="T276">
        <v>15</v>
      </c>
      <c r="U276">
        <v>15</v>
      </c>
      <c r="W276">
        <v>27.47</v>
      </c>
      <c r="X276">
        <v>1</v>
      </c>
      <c r="Y276">
        <v>27</v>
      </c>
      <c r="Z276">
        <v>18</v>
      </c>
      <c r="AA276">
        <v>18</v>
      </c>
      <c r="AB276">
        <v>5.0629999999999997</v>
      </c>
      <c r="AC276">
        <v>33.770000000000003</v>
      </c>
      <c r="AE276">
        <v>3</v>
      </c>
      <c r="AF276" t="s">
        <v>198</v>
      </c>
      <c r="AG276">
        <v>100</v>
      </c>
      <c r="AK276" t="s">
        <v>102</v>
      </c>
      <c r="AM276" t="s">
        <v>102</v>
      </c>
      <c r="AN276" t="s">
        <v>100</v>
      </c>
      <c r="AO276" t="s">
        <v>102</v>
      </c>
      <c r="AP276" t="s">
        <v>117</v>
      </c>
      <c r="AQ276" t="s">
        <v>104</v>
      </c>
      <c r="AV276" t="s">
        <v>102</v>
      </c>
      <c r="AX276" t="s">
        <v>621</v>
      </c>
      <c r="AZ276" t="s">
        <v>622</v>
      </c>
      <c r="BB276" t="s">
        <v>118</v>
      </c>
      <c r="BC276" t="s">
        <v>129</v>
      </c>
      <c r="BF276" t="s">
        <v>1455</v>
      </c>
      <c r="BG276" t="s">
        <v>102</v>
      </c>
      <c r="BH276" t="s">
        <v>102</v>
      </c>
      <c r="BI276" t="s">
        <v>102</v>
      </c>
      <c r="BK276" t="s">
        <v>107</v>
      </c>
      <c r="BQ276">
        <v>4.5</v>
      </c>
      <c r="BR276">
        <v>1.25</v>
      </c>
      <c r="BS276">
        <v>4.5</v>
      </c>
      <c r="BT276">
        <v>4.5</v>
      </c>
      <c r="CA276" t="s">
        <v>1456</v>
      </c>
      <c r="CB276" t="s">
        <v>621</v>
      </c>
      <c r="CL276" t="s">
        <v>100</v>
      </c>
      <c r="CM276" t="s">
        <v>102</v>
      </c>
      <c r="CN276" t="s">
        <v>229</v>
      </c>
      <c r="CO276" s="1">
        <v>40142</v>
      </c>
      <c r="CP276" s="1">
        <v>43634</v>
      </c>
    </row>
    <row r="277" spans="1:94" x14ac:dyDescent="0.25">
      <c r="A277" t="s">
        <v>1457</v>
      </c>
      <c r="B277" t="str">
        <f xml:space="preserve"> "" &amp; 840254045736</f>
        <v>840254045736</v>
      </c>
      <c r="C277" t="s">
        <v>1458</v>
      </c>
      <c r="D277" t="s">
        <v>1459</v>
      </c>
      <c r="E277" t="s">
        <v>620</v>
      </c>
      <c r="F277" t="s">
        <v>371</v>
      </c>
      <c r="G277">
        <v>1</v>
      </c>
      <c r="H277">
        <v>1</v>
      </c>
      <c r="I277" t="s">
        <v>99</v>
      </c>
      <c r="J277" s="4">
        <v>295</v>
      </c>
      <c r="K277" s="4">
        <v>885</v>
      </c>
      <c r="O277" t="s">
        <v>100</v>
      </c>
      <c r="P277" s="4">
        <v>619.95000000000005</v>
      </c>
      <c r="S277">
        <v>21.25</v>
      </c>
      <c r="T277">
        <v>10</v>
      </c>
      <c r="U277">
        <v>10</v>
      </c>
      <c r="W277">
        <v>16.600000000000001</v>
      </c>
      <c r="X277">
        <v>1</v>
      </c>
      <c r="Y277">
        <v>21</v>
      </c>
      <c r="Z277">
        <v>12.5</v>
      </c>
      <c r="AA277">
        <v>12.5</v>
      </c>
      <c r="AB277">
        <v>1.899</v>
      </c>
      <c r="AC277">
        <v>20.97</v>
      </c>
      <c r="AE277">
        <v>2</v>
      </c>
      <c r="AF277" t="s">
        <v>507</v>
      </c>
      <c r="AG277">
        <v>100</v>
      </c>
      <c r="AK277" t="s">
        <v>102</v>
      </c>
      <c r="AM277" t="s">
        <v>102</v>
      </c>
      <c r="AN277" t="s">
        <v>100</v>
      </c>
      <c r="AO277" t="s">
        <v>102</v>
      </c>
      <c r="AP277" t="s">
        <v>117</v>
      </c>
      <c r="AQ277" t="s">
        <v>104</v>
      </c>
      <c r="AV277" t="s">
        <v>102</v>
      </c>
      <c r="AX277" t="s">
        <v>621</v>
      </c>
      <c r="AZ277" t="s">
        <v>622</v>
      </c>
      <c r="BB277" t="s">
        <v>118</v>
      </c>
      <c r="BC277" t="s">
        <v>129</v>
      </c>
      <c r="BF277" t="s">
        <v>1460</v>
      </c>
      <c r="BG277" t="s">
        <v>102</v>
      </c>
      <c r="BH277" t="s">
        <v>102</v>
      </c>
      <c r="BI277" t="s">
        <v>102</v>
      </c>
      <c r="BK277" t="s">
        <v>107</v>
      </c>
      <c r="BR277">
        <v>1.25</v>
      </c>
      <c r="BT277">
        <v>4.5</v>
      </c>
      <c r="CA277" t="s">
        <v>1461</v>
      </c>
      <c r="CB277" t="s">
        <v>621</v>
      </c>
      <c r="CL277" t="s">
        <v>100</v>
      </c>
      <c r="CM277" t="s">
        <v>100</v>
      </c>
      <c r="CN277" t="s">
        <v>229</v>
      </c>
      <c r="CO277" s="1">
        <v>40184</v>
      </c>
      <c r="CP277" s="1">
        <v>43634</v>
      </c>
    </row>
    <row r="278" spans="1:94" x14ac:dyDescent="0.25">
      <c r="A278" t="s">
        <v>1462</v>
      </c>
      <c r="B278" t="str">
        <f xml:space="preserve"> "" &amp; 840254045743</f>
        <v>840254045743</v>
      </c>
      <c r="C278" t="s">
        <v>381</v>
      </c>
      <c r="D278" t="s">
        <v>1448</v>
      </c>
      <c r="E278" t="s">
        <v>620</v>
      </c>
      <c r="F278" t="s">
        <v>371</v>
      </c>
      <c r="G278">
        <v>1</v>
      </c>
      <c r="H278">
        <v>1</v>
      </c>
      <c r="I278" t="s">
        <v>99</v>
      </c>
      <c r="J278" s="4">
        <v>650</v>
      </c>
      <c r="K278" s="4">
        <v>1950</v>
      </c>
      <c r="O278" t="s">
        <v>100</v>
      </c>
      <c r="P278" s="4">
        <v>1364.95</v>
      </c>
      <c r="S278">
        <v>38.25</v>
      </c>
      <c r="T278">
        <v>20</v>
      </c>
      <c r="U278">
        <v>20</v>
      </c>
      <c r="W278">
        <v>54.45</v>
      </c>
      <c r="X278">
        <v>1</v>
      </c>
      <c r="Y278">
        <v>37.5</v>
      </c>
      <c r="Z278">
        <v>22.5</v>
      </c>
      <c r="AA278">
        <v>22.5</v>
      </c>
      <c r="AB278">
        <v>10.986000000000001</v>
      </c>
      <c r="AC278">
        <v>64.37</v>
      </c>
      <c r="AE278">
        <v>3</v>
      </c>
      <c r="AF278" t="s">
        <v>198</v>
      </c>
      <c r="AG278">
        <v>100</v>
      </c>
      <c r="AK278" t="s">
        <v>102</v>
      </c>
      <c r="AM278" t="s">
        <v>102</v>
      </c>
      <c r="AN278" t="s">
        <v>100</v>
      </c>
      <c r="AO278" t="s">
        <v>102</v>
      </c>
      <c r="AP278" t="s">
        <v>103</v>
      </c>
      <c r="AQ278" t="s">
        <v>104</v>
      </c>
      <c r="AV278" t="s">
        <v>102</v>
      </c>
      <c r="AX278" t="s">
        <v>621</v>
      </c>
      <c r="AZ278" t="s">
        <v>622</v>
      </c>
      <c r="BB278" t="s">
        <v>118</v>
      </c>
      <c r="BC278" t="s">
        <v>129</v>
      </c>
      <c r="BF278" t="s">
        <v>1463</v>
      </c>
      <c r="BG278" t="s">
        <v>102</v>
      </c>
      <c r="BH278" t="s">
        <v>102</v>
      </c>
      <c r="BI278" t="s">
        <v>102</v>
      </c>
      <c r="BK278" t="s">
        <v>107</v>
      </c>
      <c r="BQ278">
        <v>8</v>
      </c>
      <c r="BR278">
        <v>1.25</v>
      </c>
      <c r="BS278">
        <v>8</v>
      </c>
      <c r="BT278">
        <v>8</v>
      </c>
      <c r="CA278" t="s">
        <v>1464</v>
      </c>
      <c r="CB278" t="s">
        <v>621</v>
      </c>
      <c r="CL278" t="s">
        <v>100</v>
      </c>
      <c r="CM278" t="s">
        <v>102</v>
      </c>
      <c r="CN278" t="s">
        <v>229</v>
      </c>
      <c r="CO278" s="1">
        <v>40184</v>
      </c>
      <c r="CP278" s="1">
        <v>43634</v>
      </c>
    </row>
    <row r="279" spans="1:94" x14ac:dyDescent="0.25">
      <c r="A279" t="s">
        <v>1465</v>
      </c>
      <c r="B279" t="str">
        <f xml:space="preserve"> "" &amp; 840254045781</f>
        <v>840254045781</v>
      </c>
      <c r="C279" t="s">
        <v>1466</v>
      </c>
      <c r="D279" t="s">
        <v>1467</v>
      </c>
      <c r="E279" t="s">
        <v>620</v>
      </c>
      <c r="F279" t="s">
        <v>98</v>
      </c>
      <c r="G279">
        <v>1</v>
      </c>
      <c r="H279">
        <v>1</v>
      </c>
      <c r="I279" t="s">
        <v>99</v>
      </c>
      <c r="J279" s="4">
        <v>725</v>
      </c>
      <c r="K279" s="4">
        <v>2175</v>
      </c>
      <c r="O279" t="s">
        <v>100</v>
      </c>
      <c r="P279" s="4">
        <v>1524.95</v>
      </c>
      <c r="S279">
        <v>12</v>
      </c>
      <c r="T279">
        <v>40.5</v>
      </c>
      <c r="U279">
        <v>15.5</v>
      </c>
      <c r="W279">
        <v>42.48</v>
      </c>
      <c r="X279">
        <v>1</v>
      </c>
      <c r="Y279">
        <v>16</v>
      </c>
      <c r="Z279">
        <v>44</v>
      </c>
      <c r="AA279">
        <v>18.5</v>
      </c>
      <c r="AB279">
        <v>7.5369999999999999</v>
      </c>
      <c r="AC279">
        <v>50.35</v>
      </c>
      <c r="AE279">
        <v>4</v>
      </c>
      <c r="AF279" t="s">
        <v>198</v>
      </c>
      <c r="AG279">
        <v>100</v>
      </c>
      <c r="AK279" t="s">
        <v>102</v>
      </c>
      <c r="AM279" t="s">
        <v>102</v>
      </c>
      <c r="AN279" t="s">
        <v>100</v>
      </c>
      <c r="AO279" t="s">
        <v>102</v>
      </c>
      <c r="AP279" t="s">
        <v>103</v>
      </c>
      <c r="AQ279" t="s">
        <v>104</v>
      </c>
      <c r="AV279" t="s">
        <v>102</v>
      </c>
      <c r="AX279" t="s">
        <v>621</v>
      </c>
      <c r="AZ279" t="s">
        <v>622</v>
      </c>
      <c r="BB279" t="s">
        <v>118</v>
      </c>
      <c r="BC279" t="s">
        <v>129</v>
      </c>
      <c r="BF279" t="s">
        <v>1468</v>
      </c>
      <c r="BG279" t="s">
        <v>102</v>
      </c>
      <c r="BH279" t="s">
        <v>102</v>
      </c>
      <c r="BI279" t="s">
        <v>102</v>
      </c>
      <c r="BK279" t="s">
        <v>107</v>
      </c>
      <c r="BR279">
        <v>5</v>
      </c>
      <c r="BT279">
        <v>16</v>
      </c>
      <c r="CA279" t="s">
        <v>1469</v>
      </c>
      <c r="CB279" t="s">
        <v>621</v>
      </c>
      <c r="CL279" t="s">
        <v>100</v>
      </c>
      <c r="CM279" t="s">
        <v>102</v>
      </c>
      <c r="CN279" t="s">
        <v>229</v>
      </c>
      <c r="CO279" s="1">
        <v>40184</v>
      </c>
      <c r="CP279" s="1">
        <v>43634</v>
      </c>
    </row>
    <row r="280" spans="1:94" x14ac:dyDescent="0.25">
      <c r="A280" t="s">
        <v>1470</v>
      </c>
      <c r="B280" t="str">
        <f xml:space="preserve"> "" &amp; 840254045835</f>
        <v>840254045835</v>
      </c>
      <c r="C280" t="s">
        <v>1471</v>
      </c>
      <c r="D280" t="s">
        <v>1472</v>
      </c>
      <c r="E280" t="s">
        <v>620</v>
      </c>
      <c r="F280" t="s">
        <v>710</v>
      </c>
      <c r="G280">
        <v>1</v>
      </c>
      <c r="H280">
        <v>1</v>
      </c>
      <c r="I280" t="s">
        <v>99</v>
      </c>
      <c r="J280" s="4">
        <v>150</v>
      </c>
      <c r="K280" s="4">
        <v>450</v>
      </c>
      <c r="O280" t="s">
        <v>100</v>
      </c>
      <c r="P280" s="4">
        <v>314.95</v>
      </c>
      <c r="S280">
        <v>10</v>
      </c>
      <c r="T280">
        <v>16.5</v>
      </c>
      <c r="U280">
        <v>16.5</v>
      </c>
      <c r="W280">
        <v>6.57</v>
      </c>
      <c r="X280">
        <v>1</v>
      </c>
      <c r="Y280">
        <v>12.25</v>
      </c>
      <c r="Z280">
        <v>18.5</v>
      </c>
      <c r="AA280">
        <v>18.5</v>
      </c>
      <c r="AB280">
        <v>2.4260000000000002</v>
      </c>
      <c r="AC280">
        <v>9.81</v>
      </c>
      <c r="AE280">
        <v>2</v>
      </c>
      <c r="AF280" t="s">
        <v>198</v>
      </c>
      <c r="AG280">
        <v>100</v>
      </c>
      <c r="AK280" t="s">
        <v>102</v>
      </c>
      <c r="AM280" t="s">
        <v>102</v>
      </c>
      <c r="AN280" t="s">
        <v>100</v>
      </c>
      <c r="AO280" t="s">
        <v>102</v>
      </c>
      <c r="AP280" t="s">
        <v>117</v>
      </c>
      <c r="AQ280" t="s">
        <v>104</v>
      </c>
      <c r="AV280" t="s">
        <v>102</v>
      </c>
      <c r="AX280" t="s">
        <v>621</v>
      </c>
      <c r="AZ280" t="s">
        <v>622</v>
      </c>
      <c r="BB280" t="s">
        <v>118</v>
      </c>
      <c r="BC280" t="s">
        <v>129</v>
      </c>
      <c r="BF280" t="s">
        <v>1473</v>
      </c>
      <c r="BG280" t="s">
        <v>102</v>
      </c>
      <c r="BH280" t="s">
        <v>102</v>
      </c>
      <c r="BI280" t="s">
        <v>102</v>
      </c>
      <c r="BK280" t="s">
        <v>191</v>
      </c>
      <c r="BR280">
        <v>1.25</v>
      </c>
      <c r="BT280">
        <v>4.25</v>
      </c>
      <c r="CA280" t="s">
        <v>1474</v>
      </c>
      <c r="CB280" t="s">
        <v>621</v>
      </c>
      <c r="CL280" t="s">
        <v>100</v>
      </c>
      <c r="CM280" t="s">
        <v>102</v>
      </c>
      <c r="CN280" t="s">
        <v>229</v>
      </c>
      <c r="CO280" s="1">
        <v>40163</v>
      </c>
      <c r="CP280" s="1">
        <v>43634</v>
      </c>
    </row>
    <row r="281" spans="1:94" x14ac:dyDescent="0.25">
      <c r="A281" t="s">
        <v>1475</v>
      </c>
      <c r="B281" t="str">
        <f xml:space="preserve"> "" &amp; 840254045842</f>
        <v>840254045842</v>
      </c>
      <c r="C281" t="s">
        <v>290</v>
      </c>
      <c r="D281" t="s">
        <v>1476</v>
      </c>
      <c r="E281" t="s">
        <v>620</v>
      </c>
      <c r="F281" t="s">
        <v>179</v>
      </c>
      <c r="G281">
        <v>1</v>
      </c>
      <c r="H281">
        <v>1</v>
      </c>
      <c r="I281" t="s">
        <v>99</v>
      </c>
      <c r="J281" s="4">
        <v>160</v>
      </c>
      <c r="K281" s="4">
        <v>480</v>
      </c>
      <c r="O281" t="s">
        <v>100</v>
      </c>
      <c r="P281" s="4">
        <v>334.95</v>
      </c>
      <c r="S281">
        <v>23</v>
      </c>
      <c r="U281">
        <v>5.25</v>
      </c>
      <c r="V281">
        <v>7.5</v>
      </c>
      <c r="W281">
        <v>5.82</v>
      </c>
      <c r="X281">
        <v>1</v>
      </c>
      <c r="Y281">
        <v>17.25</v>
      </c>
      <c r="Z281">
        <v>9.5</v>
      </c>
      <c r="AA281">
        <v>7.25</v>
      </c>
      <c r="AB281">
        <v>0.68799999999999994</v>
      </c>
      <c r="AC281">
        <v>7.58</v>
      </c>
      <c r="AE281">
        <v>1</v>
      </c>
      <c r="AF281" t="s">
        <v>333</v>
      </c>
      <c r="AG281">
        <v>100</v>
      </c>
      <c r="AK281" t="s">
        <v>102</v>
      </c>
      <c r="AL281">
        <v>1</v>
      </c>
      <c r="AM281" t="s">
        <v>102</v>
      </c>
      <c r="AN281" t="s">
        <v>100</v>
      </c>
      <c r="AO281" t="s">
        <v>102</v>
      </c>
      <c r="AP281" t="s">
        <v>117</v>
      </c>
      <c r="AQ281" t="s">
        <v>104</v>
      </c>
      <c r="AV281" t="s">
        <v>102</v>
      </c>
      <c r="AX281" t="s">
        <v>621</v>
      </c>
      <c r="AZ281" t="s">
        <v>622</v>
      </c>
      <c r="BB281" t="s">
        <v>118</v>
      </c>
      <c r="BC281" t="s">
        <v>129</v>
      </c>
      <c r="BF281" t="s">
        <v>1477</v>
      </c>
      <c r="BG281" t="s">
        <v>102</v>
      </c>
      <c r="BH281" t="s">
        <v>102</v>
      </c>
      <c r="BI281" t="s">
        <v>102</v>
      </c>
      <c r="BK281" t="s">
        <v>191</v>
      </c>
      <c r="BL281" t="s">
        <v>180</v>
      </c>
      <c r="BR281">
        <v>5</v>
      </c>
      <c r="BT281">
        <v>5</v>
      </c>
      <c r="CA281" t="s">
        <v>1478</v>
      </c>
      <c r="CB281" t="s">
        <v>621</v>
      </c>
      <c r="CL281" t="s">
        <v>100</v>
      </c>
      <c r="CM281" t="s">
        <v>102</v>
      </c>
      <c r="CN281" t="s">
        <v>229</v>
      </c>
      <c r="CO281" s="1">
        <v>40184</v>
      </c>
      <c r="CP281" s="1">
        <v>43634</v>
      </c>
    </row>
    <row r="282" spans="1:94" x14ac:dyDescent="0.25">
      <c r="A282" t="s">
        <v>1479</v>
      </c>
      <c r="B282" t="str">
        <f xml:space="preserve"> "" &amp; 840254045774</f>
        <v>840254045774</v>
      </c>
      <c r="C282" t="s">
        <v>178</v>
      </c>
      <c r="D282" t="s">
        <v>1480</v>
      </c>
      <c r="E282" t="s">
        <v>620</v>
      </c>
      <c r="F282" t="s">
        <v>179</v>
      </c>
      <c r="G282">
        <v>1</v>
      </c>
      <c r="H282">
        <v>1</v>
      </c>
      <c r="I282" t="s">
        <v>99</v>
      </c>
      <c r="J282" s="4">
        <v>150</v>
      </c>
      <c r="K282" s="4">
        <v>450</v>
      </c>
      <c r="O282" t="s">
        <v>100</v>
      </c>
      <c r="P282" s="4">
        <v>314.95</v>
      </c>
      <c r="S282">
        <v>27.5</v>
      </c>
      <c r="U282">
        <v>11</v>
      </c>
      <c r="V282">
        <v>5.5</v>
      </c>
      <c r="W282">
        <v>5.51</v>
      </c>
      <c r="X282">
        <v>1</v>
      </c>
      <c r="Y282">
        <v>10.75</v>
      </c>
      <c r="Z282">
        <v>26.25</v>
      </c>
      <c r="AA282">
        <v>12</v>
      </c>
      <c r="AB282">
        <v>1.96</v>
      </c>
      <c r="AC282">
        <v>8.75</v>
      </c>
      <c r="AE282">
        <v>2</v>
      </c>
      <c r="AF282" t="s">
        <v>552</v>
      </c>
      <c r="AG282">
        <v>60</v>
      </c>
      <c r="AK282" t="s">
        <v>102</v>
      </c>
      <c r="AL282">
        <v>1</v>
      </c>
      <c r="AM282" t="s">
        <v>102</v>
      </c>
      <c r="AN282" t="s">
        <v>100</v>
      </c>
      <c r="AO282" t="s">
        <v>102</v>
      </c>
      <c r="AP282" t="s">
        <v>117</v>
      </c>
      <c r="AQ282" t="s">
        <v>104</v>
      </c>
      <c r="AV282" t="s">
        <v>102</v>
      </c>
      <c r="AX282" t="s">
        <v>621</v>
      </c>
      <c r="AZ282" t="s">
        <v>622</v>
      </c>
      <c r="BB282" t="s">
        <v>118</v>
      </c>
      <c r="BC282" t="s">
        <v>129</v>
      </c>
      <c r="BF282" t="s">
        <v>1481</v>
      </c>
      <c r="BG282" t="s">
        <v>102</v>
      </c>
      <c r="BH282" t="s">
        <v>102</v>
      </c>
      <c r="BI282" t="s">
        <v>102</v>
      </c>
      <c r="BK282" t="s">
        <v>191</v>
      </c>
      <c r="BL282" t="s">
        <v>180</v>
      </c>
      <c r="BR282">
        <v>1.25</v>
      </c>
      <c r="BT282">
        <v>4.25</v>
      </c>
      <c r="CA282" t="s">
        <v>1482</v>
      </c>
      <c r="CB282" t="s">
        <v>621</v>
      </c>
      <c r="CL282" t="s">
        <v>100</v>
      </c>
      <c r="CM282" t="s">
        <v>102</v>
      </c>
      <c r="CN282" t="s">
        <v>229</v>
      </c>
      <c r="CO282" s="1">
        <v>40108</v>
      </c>
      <c r="CP282" s="1">
        <v>43634</v>
      </c>
    </row>
    <row r="283" spans="1:94" x14ac:dyDescent="0.25">
      <c r="A283" t="s">
        <v>1483</v>
      </c>
      <c r="B283" t="str">
        <f xml:space="preserve"> "" &amp; 840254045699</f>
        <v>840254045699</v>
      </c>
      <c r="C283" t="s">
        <v>1484</v>
      </c>
      <c r="D283" t="s">
        <v>1485</v>
      </c>
      <c r="E283" t="s">
        <v>620</v>
      </c>
      <c r="F283" t="s">
        <v>371</v>
      </c>
      <c r="G283">
        <v>1</v>
      </c>
      <c r="H283">
        <v>1</v>
      </c>
      <c r="I283" t="s">
        <v>99</v>
      </c>
      <c r="J283" s="4">
        <v>450</v>
      </c>
      <c r="K283" s="4">
        <v>1350</v>
      </c>
      <c r="O283" t="s">
        <v>100</v>
      </c>
      <c r="P283" s="4">
        <v>944.95</v>
      </c>
      <c r="S283">
        <v>13.25</v>
      </c>
      <c r="T283">
        <v>24</v>
      </c>
      <c r="U283">
        <v>24</v>
      </c>
      <c r="W283">
        <v>47.84</v>
      </c>
      <c r="X283">
        <v>1</v>
      </c>
      <c r="Y283">
        <v>12.75</v>
      </c>
      <c r="Z283">
        <v>26</v>
      </c>
      <c r="AA283">
        <v>26</v>
      </c>
      <c r="AB283">
        <v>4.9880000000000004</v>
      </c>
      <c r="AC283">
        <v>61.51</v>
      </c>
      <c r="AE283">
        <v>3</v>
      </c>
      <c r="AF283" t="s">
        <v>497</v>
      </c>
      <c r="AG283">
        <v>100</v>
      </c>
      <c r="AK283" t="s">
        <v>102</v>
      </c>
      <c r="AM283" t="s">
        <v>102</v>
      </c>
      <c r="AN283" t="s">
        <v>100</v>
      </c>
      <c r="AO283" t="s">
        <v>102</v>
      </c>
      <c r="AP283" t="s">
        <v>117</v>
      </c>
      <c r="AQ283" t="s">
        <v>104</v>
      </c>
      <c r="AV283" t="s">
        <v>102</v>
      </c>
      <c r="AX283" t="s">
        <v>621</v>
      </c>
      <c r="AZ283" t="s">
        <v>622</v>
      </c>
      <c r="BB283" t="s">
        <v>118</v>
      </c>
      <c r="BC283" t="s">
        <v>129</v>
      </c>
      <c r="BF283" t="s">
        <v>1486</v>
      </c>
      <c r="BG283" t="s">
        <v>102</v>
      </c>
      <c r="BH283" t="s">
        <v>102</v>
      </c>
      <c r="BI283" t="s">
        <v>102</v>
      </c>
      <c r="BK283" t="s">
        <v>107</v>
      </c>
      <c r="BR283">
        <v>1.25</v>
      </c>
      <c r="BT283">
        <v>4.5</v>
      </c>
      <c r="CA283" t="s">
        <v>1487</v>
      </c>
      <c r="CB283" t="s">
        <v>621</v>
      </c>
      <c r="CL283" t="s">
        <v>100</v>
      </c>
      <c r="CM283" t="s">
        <v>102</v>
      </c>
      <c r="CN283" t="s">
        <v>229</v>
      </c>
      <c r="CO283" s="1">
        <v>40184</v>
      </c>
      <c r="CP283" s="1">
        <v>43634</v>
      </c>
    </row>
    <row r="284" spans="1:94" x14ac:dyDescent="0.25">
      <c r="A284" t="s">
        <v>1488</v>
      </c>
      <c r="B284" t="str">
        <f xml:space="preserve"> "" &amp; 840254045712</f>
        <v>840254045712</v>
      </c>
      <c r="C284" t="s">
        <v>936</v>
      </c>
      <c r="D284" t="s">
        <v>1489</v>
      </c>
      <c r="E284" t="s">
        <v>620</v>
      </c>
      <c r="F284" t="s">
        <v>710</v>
      </c>
      <c r="G284">
        <v>1</v>
      </c>
      <c r="H284">
        <v>1</v>
      </c>
      <c r="I284" t="s">
        <v>99</v>
      </c>
      <c r="J284" s="4">
        <v>350</v>
      </c>
      <c r="K284" s="4">
        <v>1050</v>
      </c>
      <c r="O284" t="s">
        <v>100</v>
      </c>
      <c r="P284" s="4">
        <v>734.95</v>
      </c>
      <c r="S284">
        <v>11.75</v>
      </c>
      <c r="T284">
        <v>22</v>
      </c>
      <c r="U284">
        <v>22</v>
      </c>
      <c r="W284">
        <v>17.64</v>
      </c>
      <c r="X284">
        <v>1</v>
      </c>
      <c r="AB284">
        <v>3.6739999999999999</v>
      </c>
      <c r="AC284">
        <v>23.41</v>
      </c>
      <c r="AE284">
        <v>3</v>
      </c>
      <c r="AF284" t="s">
        <v>507</v>
      </c>
      <c r="AG284">
        <v>60</v>
      </c>
      <c r="AK284" t="s">
        <v>102</v>
      </c>
      <c r="AM284" t="s">
        <v>102</v>
      </c>
      <c r="AN284" t="s">
        <v>100</v>
      </c>
      <c r="AO284" t="s">
        <v>102</v>
      </c>
      <c r="AP284" t="s">
        <v>117</v>
      </c>
      <c r="AQ284" t="s">
        <v>104</v>
      </c>
      <c r="AV284" t="s">
        <v>102</v>
      </c>
      <c r="AX284" t="s">
        <v>621</v>
      </c>
      <c r="AZ284" t="s">
        <v>622</v>
      </c>
      <c r="BB284" t="s">
        <v>118</v>
      </c>
      <c r="BC284" t="s">
        <v>129</v>
      </c>
      <c r="BF284" t="s">
        <v>1490</v>
      </c>
      <c r="BG284" t="s">
        <v>102</v>
      </c>
      <c r="BH284" t="s">
        <v>102</v>
      </c>
      <c r="BI284" t="s">
        <v>102</v>
      </c>
      <c r="BK284" t="s">
        <v>191</v>
      </c>
      <c r="BQ284">
        <v>8</v>
      </c>
      <c r="BR284">
        <v>1.25</v>
      </c>
      <c r="BS284">
        <v>8</v>
      </c>
      <c r="BT284">
        <v>8</v>
      </c>
      <c r="CA284" t="s">
        <v>1491</v>
      </c>
      <c r="CB284" t="s">
        <v>621</v>
      </c>
      <c r="CL284" t="s">
        <v>100</v>
      </c>
      <c r="CM284" t="s">
        <v>102</v>
      </c>
      <c r="CN284" t="s">
        <v>229</v>
      </c>
      <c r="CO284" s="1">
        <v>40378</v>
      </c>
      <c r="CP284" s="1">
        <v>43634</v>
      </c>
    </row>
    <row r="285" spans="1:94" x14ac:dyDescent="0.25">
      <c r="A285" t="s">
        <v>1492</v>
      </c>
      <c r="B285" t="str">
        <f xml:space="preserve"> "" &amp; 840254045705</f>
        <v>840254045705</v>
      </c>
      <c r="C285" t="s">
        <v>1493</v>
      </c>
      <c r="D285" t="s">
        <v>1494</v>
      </c>
      <c r="E285" t="s">
        <v>620</v>
      </c>
      <c r="F285" t="s">
        <v>371</v>
      </c>
      <c r="G285">
        <v>1</v>
      </c>
      <c r="H285">
        <v>1</v>
      </c>
      <c r="I285" t="s">
        <v>99</v>
      </c>
      <c r="J285" s="4">
        <v>695</v>
      </c>
      <c r="K285" s="4">
        <v>2085</v>
      </c>
      <c r="O285" t="s">
        <v>100</v>
      </c>
      <c r="P285" s="4">
        <v>1459.95</v>
      </c>
      <c r="S285">
        <v>15.75</v>
      </c>
      <c r="T285">
        <v>30</v>
      </c>
      <c r="U285">
        <v>30</v>
      </c>
      <c r="W285">
        <v>36.71</v>
      </c>
      <c r="X285">
        <v>1</v>
      </c>
      <c r="Y285">
        <v>15.25</v>
      </c>
      <c r="Z285">
        <v>31.5</v>
      </c>
      <c r="AA285">
        <v>31.5</v>
      </c>
      <c r="AB285">
        <v>8.7569999999999997</v>
      </c>
      <c r="AC285">
        <v>45.86</v>
      </c>
      <c r="AE285">
        <v>4</v>
      </c>
      <c r="AF285" t="s">
        <v>507</v>
      </c>
      <c r="AG285">
        <v>100</v>
      </c>
      <c r="AK285" t="s">
        <v>102</v>
      </c>
      <c r="AM285" t="s">
        <v>102</v>
      </c>
      <c r="AN285" t="s">
        <v>100</v>
      </c>
      <c r="AO285" t="s">
        <v>102</v>
      </c>
      <c r="AP285" t="s">
        <v>117</v>
      </c>
      <c r="AQ285" t="s">
        <v>104</v>
      </c>
      <c r="AV285" t="s">
        <v>102</v>
      </c>
      <c r="AX285" t="s">
        <v>621</v>
      </c>
      <c r="AZ285" t="s">
        <v>622</v>
      </c>
      <c r="BB285" t="s">
        <v>118</v>
      </c>
      <c r="BC285" t="s">
        <v>129</v>
      </c>
      <c r="BF285" t="s">
        <v>1495</v>
      </c>
      <c r="BG285" t="s">
        <v>102</v>
      </c>
      <c r="BH285" t="s">
        <v>102</v>
      </c>
      <c r="BI285" t="s">
        <v>102</v>
      </c>
      <c r="BK285" t="s">
        <v>107</v>
      </c>
      <c r="BR285">
        <v>1.25</v>
      </c>
      <c r="BT285">
        <v>8</v>
      </c>
      <c r="CA285" t="s">
        <v>1496</v>
      </c>
      <c r="CB285" t="s">
        <v>621</v>
      </c>
      <c r="CL285" t="s">
        <v>100</v>
      </c>
      <c r="CM285" t="s">
        <v>102</v>
      </c>
      <c r="CN285" t="s">
        <v>229</v>
      </c>
      <c r="CO285" s="1">
        <v>40378</v>
      </c>
      <c r="CP285" s="1">
        <v>43634</v>
      </c>
    </row>
    <row r="286" spans="1:94" x14ac:dyDescent="0.25">
      <c r="A286" t="s">
        <v>1497</v>
      </c>
      <c r="B286" t="str">
        <f xml:space="preserve"> "" &amp; 840254045668</f>
        <v>840254045668</v>
      </c>
      <c r="C286" t="s">
        <v>1484</v>
      </c>
      <c r="D286" t="s">
        <v>1485</v>
      </c>
      <c r="E286" t="s">
        <v>620</v>
      </c>
      <c r="F286" t="s">
        <v>371</v>
      </c>
      <c r="G286">
        <v>1</v>
      </c>
      <c r="H286">
        <v>1</v>
      </c>
      <c r="I286" t="s">
        <v>99</v>
      </c>
      <c r="J286" s="4">
        <v>300</v>
      </c>
      <c r="K286" s="4">
        <v>900</v>
      </c>
      <c r="O286" t="s">
        <v>100</v>
      </c>
      <c r="P286" s="4">
        <v>629.95000000000005</v>
      </c>
      <c r="S286">
        <v>7.75</v>
      </c>
      <c r="T286">
        <v>18</v>
      </c>
      <c r="U286">
        <v>18</v>
      </c>
      <c r="W286">
        <v>14.77</v>
      </c>
      <c r="X286">
        <v>1</v>
      </c>
      <c r="Y286">
        <v>11</v>
      </c>
      <c r="Z286">
        <v>20</v>
      </c>
      <c r="AA286">
        <v>20</v>
      </c>
      <c r="AB286">
        <v>2.5459999999999998</v>
      </c>
      <c r="AC286">
        <v>18.28</v>
      </c>
      <c r="AE286">
        <v>3</v>
      </c>
      <c r="AF286" t="s">
        <v>507</v>
      </c>
      <c r="AG286">
        <v>100</v>
      </c>
      <c r="AK286" t="s">
        <v>102</v>
      </c>
      <c r="AM286" t="s">
        <v>102</v>
      </c>
      <c r="AN286" t="s">
        <v>100</v>
      </c>
      <c r="AO286" t="s">
        <v>102</v>
      </c>
      <c r="AP286" t="s">
        <v>117</v>
      </c>
      <c r="AQ286" t="s">
        <v>104</v>
      </c>
      <c r="AV286" t="s">
        <v>102</v>
      </c>
      <c r="AX286" t="s">
        <v>621</v>
      </c>
      <c r="AZ286" t="s">
        <v>622</v>
      </c>
      <c r="BB286" t="s">
        <v>118</v>
      </c>
      <c r="BC286" t="s">
        <v>129</v>
      </c>
      <c r="BF286" t="s">
        <v>1498</v>
      </c>
      <c r="BG286" t="s">
        <v>102</v>
      </c>
      <c r="BH286" t="s">
        <v>102</v>
      </c>
      <c r="BI286" t="s">
        <v>102</v>
      </c>
      <c r="BK286" t="s">
        <v>107</v>
      </c>
      <c r="BQ286">
        <v>5</v>
      </c>
      <c r="BR286">
        <v>1</v>
      </c>
      <c r="BS286">
        <v>5</v>
      </c>
      <c r="BT286">
        <v>5</v>
      </c>
      <c r="CA286" t="s">
        <v>1499</v>
      </c>
      <c r="CB286" t="s">
        <v>621</v>
      </c>
      <c r="CL286" t="s">
        <v>100</v>
      </c>
      <c r="CM286" t="s">
        <v>100</v>
      </c>
      <c r="CN286" t="s">
        <v>229</v>
      </c>
      <c r="CO286" s="1">
        <v>40634</v>
      </c>
      <c r="CP286" s="1">
        <v>43634</v>
      </c>
    </row>
    <row r="287" spans="1:94" x14ac:dyDescent="0.25">
      <c r="A287" t="s">
        <v>1500</v>
      </c>
      <c r="B287" t="str">
        <f xml:space="preserve"> "" &amp; 840254045675</f>
        <v>840254045675</v>
      </c>
      <c r="C287" t="s">
        <v>674</v>
      </c>
      <c r="D287" t="s">
        <v>1501</v>
      </c>
      <c r="E287" t="s">
        <v>620</v>
      </c>
      <c r="F287" t="s">
        <v>371</v>
      </c>
      <c r="G287">
        <v>1</v>
      </c>
      <c r="H287">
        <v>1</v>
      </c>
      <c r="I287" t="s">
        <v>99</v>
      </c>
      <c r="J287" s="4">
        <v>795</v>
      </c>
      <c r="K287" s="4">
        <v>2385</v>
      </c>
      <c r="O287" t="s">
        <v>100</v>
      </c>
      <c r="P287" s="4">
        <v>1669.95</v>
      </c>
      <c r="S287">
        <v>17</v>
      </c>
      <c r="T287">
        <v>36</v>
      </c>
      <c r="U287">
        <v>36</v>
      </c>
      <c r="W287">
        <v>47.84</v>
      </c>
      <c r="X287">
        <v>1</v>
      </c>
      <c r="Y287">
        <v>17.25</v>
      </c>
      <c r="Z287">
        <v>38.5</v>
      </c>
      <c r="AA287">
        <v>38.5</v>
      </c>
      <c r="AB287">
        <v>14.797000000000001</v>
      </c>
      <c r="AC287">
        <v>61.51</v>
      </c>
      <c r="AE287">
        <v>5</v>
      </c>
      <c r="AF287" t="s">
        <v>198</v>
      </c>
      <c r="AG287">
        <v>100</v>
      </c>
      <c r="AK287" t="s">
        <v>102</v>
      </c>
      <c r="AM287" t="s">
        <v>102</v>
      </c>
      <c r="AN287" t="s">
        <v>100</v>
      </c>
      <c r="AO287" t="s">
        <v>102</v>
      </c>
      <c r="AP287" t="s">
        <v>103</v>
      </c>
      <c r="AQ287" t="s">
        <v>104</v>
      </c>
      <c r="AV287" t="s">
        <v>102</v>
      </c>
      <c r="AX287" t="s">
        <v>621</v>
      </c>
      <c r="AZ287" t="s">
        <v>622</v>
      </c>
      <c r="BB287" t="s">
        <v>118</v>
      </c>
      <c r="BC287" t="s">
        <v>129</v>
      </c>
      <c r="BF287" t="s">
        <v>1502</v>
      </c>
      <c r="BG287" t="s">
        <v>102</v>
      </c>
      <c r="BH287" t="s">
        <v>102</v>
      </c>
      <c r="BI287" t="s">
        <v>102</v>
      </c>
      <c r="BK287" t="s">
        <v>107</v>
      </c>
      <c r="BQ287">
        <v>8</v>
      </c>
      <c r="BR287">
        <v>1.25</v>
      </c>
      <c r="BS287">
        <v>8</v>
      </c>
      <c r="BT287">
        <v>8</v>
      </c>
      <c r="CA287" t="s">
        <v>1503</v>
      </c>
      <c r="CB287" t="s">
        <v>621</v>
      </c>
      <c r="CL287" t="s">
        <v>100</v>
      </c>
      <c r="CM287" t="s">
        <v>102</v>
      </c>
      <c r="CN287" t="s">
        <v>229</v>
      </c>
      <c r="CO287" s="1">
        <v>40658</v>
      </c>
      <c r="CP287" s="1">
        <v>43634</v>
      </c>
    </row>
    <row r="288" spans="1:94" x14ac:dyDescent="0.25">
      <c r="A288" t="s">
        <v>1504</v>
      </c>
      <c r="B288" t="str">
        <f xml:space="preserve"> "" &amp; 840254045682</f>
        <v>840254045682</v>
      </c>
      <c r="C288" t="s">
        <v>390</v>
      </c>
      <c r="D288" t="s">
        <v>1505</v>
      </c>
      <c r="E288" t="s">
        <v>620</v>
      </c>
      <c r="F288" t="s">
        <v>371</v>
      </c>
      <c r="G288">
        <v>1</v>
      </c>
      <c r="H288">
        <v>1</v>
      </c>
      <c r="I288" t="s">
        <v>99</v>
      </c>
      <c r="J288" s="4">
        <v>1295</v>
      </c>
      <c r="K288" s="4">
        <v>3885</v>
      </c>
      <c r="O288" t="s">
        <v>100</v>
      </c>
      <c r="P288" s="4">
        <v>2719.95</v>
      </c>
      <c r="S288">
        <v>19.75</v>
      </c>
      <c r="T288">
        <v>44</v>
      </c>
      <c r="U288">
        <v>44</v>
      </c>
      <c r="W288">
        <v>80.03</v>
      </c>
      <c r="X288">
        <v>1</v>
      </c>
      <c r="Y288">
        <v>20</v>
      </c>
      <c r="Z288">
        <v>47</v>
      </c>
      <c r="AA288">
        <v>47</v>
      </c>
      <c r="AB288">
        <v>25.567</v>
      </c>
      <c r="AC288">
        <v>102.29</v>
      </c>
      <c r="AE288">
        <v>6</v>
      </c>
      <c r="AF288" t="s">
        <v>198</v>
      </c>
      <c r="AG288">
        <v>100</v>
      </c>
      <c r="AK288" t="s">
        <v>102</v>
      </c>
      <c r="AM288" t="s">
        <v>102</v>
      </c>
      <c r="AN288" t="s">
        <v>100</v>
      </c>
      <c r="AO288" t="s">
        <v>102</v>
      </c>
      <c r="AP288" t="s">
        <v>103</v>
      </c>
      <c r="AQ288" t="s">
        <v>104</v>
      </c>
      <c r="AV288" t="s">
        <v>102</v>
      </c>
      <c r="AX288" t="s">
        <v>621</v>
      </c>
      <c r="AZ288" t="s">
        <v>622</v>
      </c>
      <c r="BB288" t="s">
        <v>118</v>
      </c>
      <c r="BC288" t="s">
        <v>129</v>
      </c>
      <c r="BF288" t="s">
        <v>1506</v>
      </c>
      <c r="BG288" t="s">
        <v>102</v>
      </c>
      <c r="BH288" t="s">
        <v>102</v>
      </c>
      <c r="BI288" t="s">
        <v>102</v>
      </c>
      <c r="BK288" t="s">
        <v>107</v>
      </c>
      <c r="BQ288">
        <v>8</v>
      </c>
      <c r="BR288">
        <v>1.25</v>
      </c>
      <c r="BS288">
        <v>8</v>
      </c>
      <c r="BT288">
        <v>8</v>
      </c>
      <c r="CA288" t="s">
        <v>1507</v>
      </c>
      <c r="CB288" t="s">
        <v>621</v>
      </c>
      <c r="CL288" t="s">
        <v>100</v>
      </c>
      <c r="CM288" t="s">
        <v>102</v>
      </c>
      <c r="CN288" t="s">
        <v>229</v>
      </c>
      <c r="CO288" s="1">
        <v>42339</v>
      </c>
      <c r="CP288" s="1">
        <v>43634</v>
      </c>
    </row>
    <row r="289" spans="1:94" x14ac:dyDescent="0.25">
      <c r="A289" t="s">
        <v>1508</v>
      </c>
      <c r="B289" t="str">
        <f xml:space="preserve"> "" &amp; 840254044265</f>
        <v>840254044265</v>
      </c>
      <c r="C289" t="s">
        <v>95</v>
      </c>
      <c r="D289" t="s">
        <v>1509</v>
      </c>
      <c r="E289" t="s">
        <v>633</v>
      </c>
      <c r="F289" t="s">
        <v>371</v>
      </c>
      <c r="G289">
        <v>1</v>
      </c>
      <c r="H289">
        <v>1</v>
      </c>
      <c r="I289" t="s">
        <v>99</v>
      </c>
      <c r="J289" s="4">
        <v>595</v>
      </c>
      <c r="K289" s="4">
        <v>1785</v>
      </c>
      <c r="O289" t="s">
        <v>100</v>
      </c>
      <c r="P289" s="4">
        <v>1249.95</v>
      </c>
      <c r="S289">
        <v>22.5</v>
      </c>
      <c r="T289">
        <v>25.5</v>
      </c>
      <c r="U289">
        <v>25.5</v>
      </c>
      <c r="W289">
        <v>34.659999999999997</v>
      </c>
      <c r="X289">
        <v>1</v>
      </c>
      <c r="Y289">
        <v>26.75</v>
      </c>
      <c r="Z289">
        <v>27.5</v>
      </c>
      <c r="AA289">
        <v>27.5</v>
      </c>
      <c r="AB289">
        <v>11.707000000000001</v>
      </c>
      <c r="AC289">
        <v>46.3</v>
      </c>
      <c r="AE289">
        <v>12</v>
      </c>
      <c r="AF289" t="s">
        <v>187</v>
      </c>
      <c r="AG289">
        <v>60</v>
      </c>
      <c r="AK289" t="s">
        <v>102</v>
      </c>
      <c r="AM289" t="s">
        <v>102</v>
      </c>
      <c r="AN289" t="s">
        <v>100</v>
      </c>
      <c r="AO289" t="s">
        <v>102</v>
      </c>
      <c r="AP289" t="s">
        <v>103</v>
      </c>
      <c r="AQ289" t="s">
        <v>104</v>
      </c>
      <c r="AV289" t="s">
        <v>102</v>
      </c>
      <c r="AX289" t="s">
        <v>168</v>
      </c>
      <c r="BB289" t="s">
        <v>147</v>
      </c>
      <c r="BC289" t="s">
        <v>275</v>
      </c>
      <c r="BF289" t="s">
        <v>1510</v>
      </c>
      <c r="BG289" t="s">
        <v>102</v>
      </c>
      <c r="BH289" t="s">
        <v>102</v>
      </c>
      <c r="BI289" t="s">
        <v>102</v>
      </c>
      <c r="BK289" t="s">
        <v>107</v>
      </c>
      <c r="BR289">
        <v>1.5</v>
      </c>
      <c r="BT289">
        <v>5.5</v>
      </c>
      <c r="CA289" t="s">
        <v>1511</v>
      </c>
      <c r="CB289" t="s">
        <v>168</v>
      </c>
      <c r="CL289" t="s">
        <v>102</v>
      </c>
      <c r="CM289" t="s">
        <v>102</v>
      </c>
      <c r="CN289" t="s">
        <v>1512</v>
      </c>
      <c r="CO289" s="1">
        <v>41927</v>
      </c>
      <c r="CP289" s="1">
        <v>43634</v>
      </c>
    </row>
    <row r="290" spans="1:94" x14ac:dyDescent="0.25">
      <c r="A290" t="s">
        <v>1513</v>
      </c>
      <c r="B290" t="str">
        <f xml:space="preserve"> "" &amp; 840254045989</f>
        <v>840254045989</v>
      </c>
      <c r="C290" t="s">
        <v>846</v>
      </c>
      <c r="D290" t="s">
        <v>1514</v>
      </c>
      <c r="E290" t="s">
        <v>633</v>
      </c>
      <c r="F290" t="s">
        <v>98</v>
      </c>
      <c r="G290">
        <v>1</v>
      </c>
      <c r="H290">
        <v>1</v>
      </c>
      <c r="I290" t="s">
        <v>99</v>
      </c>
      <c r="J290" s="4">
        <v>975</v>
      </c>
      <c r="K290" s="4">
        <v>2925</v>
      </c>
      <c r="O290" t="s">
        <v>100</v>
      </c>
      <c r="P290" s="4">
        <v>2049.9499999999998</v>
      </c>
      <c r="S290">
        <v>26</v>
      </c>
      <c r="T290">
        <v>33.25</v>
      </c>
      <c r="U290">
        <v>33.25</v>
      </c>
      <c r="W290">
        <v>52.69</v>
      </c>
      <c r="X290">
        <v>1</v>
      </c>
      <c r="Y290">
        <v>29.25</v>
      </c>
      <c r="Z290">
        <v>35.75</v>
      </c>
      <c r="AA290">
        <v>35.75</v>
      </c>
      <c r="AB290">
        <v>21.634</v>
      </c>
      <c r="AC290">
        <v>67.459999999999994</v>
      </c>
      <c r="AE290">
        <v>16</v>
      </c>
      <c r="AF290" t="s">
        <v>167</v>
      </c>
      <c r="AG290">
        <v>60</v>
      </c>
      <c r="AK290" t="s">
        <v>102</v>
      </c>
      <c r="AM290" t="s">
        <v>102</v>
      </c>
      <c r="AN290" t="s">
        <v>100</v>
      </c>
      <c r="AO290" t="s">
        <v>102</v>
      </c>
      <c r="AP290" t="s">
        <v>103</v>
      </c>
      <c r="AQ290" t="s">
        <v>104</v>
      </c>
      <c r="AV290" t="s">
        <v>102</v>
      </c>
      <c r="AX290" t="s">
        <v>168</v>
      </c>
      <c r="AZ290" t="s">
        <v>189</v>
      </c>
      <c r="BB290" t="s">
        <v>268</v>
      </c>
      <c r="BD290" t="s">
        <v>1515</v>
      </c>
      <c r="BF290" t="s">
        <v>1516</v>
      </c>
      <c r="BG290" t="s">
        <v>102</v>
      </c>
      <c r="BH290" t="s">
        <v>102</v>
      </c>
      <c r="BI290" t="s">
        <v>102</v>
      </c>
      <c r="BK290" t="s">
        <v>107</v>
      </c>
      <c r="BQ290">
        <v>5.5</v>
      </c>
      <c r="BR290">
        <v>1.5</v>
      </c>
      <c r="BS290">
        <v>5.5</v>
      </c>
      <c r="BT290">
        <v>5.5</v>
      </c>
      <c r="CA290" t="s">
        <v>1517</v>
      </c>
      <c r="CB290" t="s">
        <v>168</v>
      </c>
      <c r="CL290" t="s">
        <v>100</v>
      </c>
      <c r="CM290" t="s">
        <v>102</v>
      </c>
      <c r="CN290" t="s">
        <v>1512</v>
      </c>
      <c r="CO290" s="1">
        <v>42335</v>
      </c>
      <c r="CP290" s="1">
        <v>43634</v>
      </c>
    </row>
    <row r="291" spans="1:94" x14ac:dyDescent="0.25">
      <c r="A291" t="s">
        <v>1518</v>
      </c>
      <c r="B291" t="str">
        <f xml:space="preserve"> "" &amp; 840254044272</f>
        <v>840254044272</v>
      </c>
      <c r="C291" t="s">
        <v>1519</v>
      </c>
      <c r="D291" t="s">
        <v>1520</v>
      </c>
      <c r="E291" t="s">
        <v>633</v>
      </c>
      <c r="F291" t="s">
        <v>710</v>
      </c>
      <c r="G291">
        <v>1</v>
      </c>
      <c r="H291">
        <v>1</v>
      </c>
      <c r="I291" t="s">
        <v>99</v>
      </c>
      <c r="J291" s="4">
        <v>395</v>
      </c>
      <c r="K291" s="4">
        <v>1185</v>
      </c>
      <c r="O291" t="s">
        <v>100</v>
      </c>
      <c r="P291" s="4">
        <v>829.95</v>
      </c>
      <c r="S291">
        <v>12.5</v>
      </c>
      <c r="T291">
        <v>17.5</v>
      </c>
      <c r="U291">
        <v>17.5</v>
      </c>
      <c r="W291">
        <v>22.05</v>
      </c>
      <c r="X291">
        <v>1</v>
      </c>
      <c r="Y291">
        <v>17.38</v>
      </c>
      <c r="Z291">
        <v>19.63</v>
      </c>
      <c r="AA291">
        <v>19.63</v>
      </c>
      <c r="AB291">
        <v>3.8759999999999999</v>
      </c>
      <c r="AC291">
        <v>26.46</v>
      </c>
      <c r="AE291">
        <v>8</v>
      </c>
      <c r="AF291" t="s">
        <v>167</v>
      </c>
      <c r="AG291">
        <v>60</v>
      </c>
      <c r="AK291" t="s">
        <v>102</v>
      </c>
      <c r="AM291" t="s">
        <v>102</v>
      </c>
      <c r="AN291" t="s">
        <v>100</v>
      </c>
      <c r="AO291" t="s">
        <v>102</v>
      </c>
      <c r="AP291" t="s">
        <v>103</v>
      </c>
      <c r="AQ291" t="s">
        <v>104</v>
      </c>
      <c r="AV291" t="s">
        <v>102</v>
      </c>
      <c r="AX291" t="s">
        <v>168</v>
      </c>
      <c r="AZ291" t="s">
        <v>622</v>
      </c>
      <c r="BB291" t="s">
        <v>147</v>
      </c>
      <c r="BC291" t="s">
        <v>275</v>
      </c>
      <c r="BF291" t="s">
        <v>1521</v>
      </c>
      <c r="BG291" t="s">
        <v>102</v>
      </c>
      <c r="BH291" t="s">
        <v>102</v>
      </c>
      <c r="BI291" t="s">
        <v>102</v>
      </c>
      <c r="BK291" t="s">
        <v>191</v>
      </c>
      <c r="BR291">
        <v>1</v>
      </c>
      <c r="BT291">
        <v>4.75</v>
      </c>
      <c r="CA291" t="s">
        <v>1522</v>
      </c>
      <c r="CB291" t="s">
        <v>168</v>
      </c>
      <c r="CL291" t="s">
        <v>102</v>
      </c>
      <c r="CM291" t="s">
        <v>102</v>
      </c>
      <c r="CN291" t="s">
        <v>1523</v>
      </c>
      <c r="CO291" s="1">
        <v>41992</v>
      </c>
      <c r="CP291" s="1">
        <v>43634</v>
      </c>
    </row>
    <row r="292" spans="1:94" x14ac:dyDescent="0.25">
      <c r="A292" t="s">
        <v>1524</v>
      </c>
      <c r="B292" t="str">
        <f xml:space="preserve"> "" &amp; 840254044258</f>
        <v>840254044258</v>
      </c>
      <c r="C292" t="s">
        <v>691</v>
      </c>
      <c r="D292" t="s">
        <v>1525</v>
      </c>
      <c r="E292" t="s">
        <v>633</v>
      </c>
      <c r="F292" t="s">
        <v>371</v>
      </c>
      <c r="G292">
        <v>1</v>
      </c>
      <c r="H292">
        <v>1</v>
      </c>
      <c r="I292" t="s">
        <v>99</v>
      </c>
      <c r="J292" s="4">
        <v>395</v>
      </c>
      <c r="K292" s="4">
        <v>1185</v>
      </c>
      <c r="O292" t="s">
        <v>100</v>
      </c>
      <c r="P292" s="4">
        <v>829.95</v>
      </c>
      <c r="S292">
        <v>18</v>
      </c>
      <c r="T292">
        <v>17.25</v>
      </c>
      <c r="U292">
        <v>17.25</v>
      </c>
      <c r="W292">
        <v>25.24</v>
      </c>
      <c r="X292">
        <v>1</v>
      </c>
      <c r="Y292">
        <v>22.25</v>
      </c>
      <c r="Z292">
        <v>19.5</v>
      </c>
      <c r="AA292">
        <v>19.5</v>
      </c>
      <c r="AB292">
        <v>4.8959999999999999</v>
      </c>
      <c r="AC292">
        <v>30.64</v>
      </c>
      <c r="AE292">
        <v>8</v>
      </c>
      <c r="AF292" t="s">
        <v>176</v>
      </c>
      <c r="AG292">
        <v>60</v>
      </c>
      <c r="AK292" t="s">
        <v>102</v>
      </c>
      <c r="AM292" t="s">
        <v>102</v>
      </c>
      <c r="AN292" t="s">
        <v>100</v>
      </c>
      <c r="AO292" t="s">
        <v>102</v>
      </c>
      <c r="AP292" t="s">
        <v>103</v>
      </c>
      <c r="AQ292" t="s">
        <v>104</v>
      </c>
      <c r="AV292" t="s">
        <v>102</v>
      </c>
      <c r="AX292" t="s">
        <v>168</v>
      </c>
      <c r="BB292" t="s">
        <v>147</v>
      </c>
      <c r="BC292" t="s">
        <v>275</v>
      </c>
      <c r="BF292" t="s">
        <v>1526</v>
      </c>
      <c r="BG292" t="s">
        <v>102</v>
      </c>
      <c r="BH292" t="s">
        <v>102</v>
      </c>
      <c r="BI292" t="s">
        <v>102</v>
      </c>
      <c r="BK292" t="s">
        <v>107</v>
      </c>
      <c r="BR292">
        <v>1.5</v>
      </c>
      <c r="BT292">
        <v>5.5</v>
      </c>
      <c r="CA292" t="s">
        <v>1527</v>
      </c>
      <c r="CB292" t="s">
        <v>168</v>
      </c>
      <c r="CL292" t="s">
        <v>102</v>
      </c>
      <c r="CM292" t="s">
        <v>102</v>
      </c>
      <c r="CN292" t="s">
        <v>1512</v>
      </c>
      <c r="CO292" s="1">
        <v>41927</v>
      </c>
      <c r="CP292" s="1">
        <v>43634</v>
      </c>
    </row>
    <row r="293" spans="1:94" x14ac:dyDescent="0.25">
      <c r="A293" t="s">
        <v>1528</v>
      </c>
      <c r="B293" t="str">
        <f xml:space="preserve"> "" &amp; 840254041950</f>
        <v>840254041950</v>
      </c>
      <c r="C293" t="s">
        <v>1529</v>
      </c>
      <c r="D293" t="s">
        <v>1530</v>
      </c>
      <c r="E293" t="s">
        <v>1531</v>
      </c>
      <c r="F293" t="s">
        <v>98</v>
      </c>
      <c r="G293">
        <v>1</v>
      </c>
      <c r="H293">
        <v>1</v>
      </c>
      <c r="I293" t="s">
        <v>99</v>
      </c>
      <c r="J293" s="4">
        <v>495</v>
      </c>
      <c r="K293" s="4">
        <v>1485</v>
      </c>
      <c r="O293" t="s">
        <v>100</v>
      </c>
      <c r="P293" s="4">
        <v>1039.95</v>
      </c>
      <c r="S293">
        <v>20.75</v>
      </c>
      <c r="T293">
        <v>19.75</v>
      </c>
      <c r="U293">
        <v>19.75</v>
      </c>
      <c r="V293">
        <v>19.75</v>
      </c>
      <c r="W293">
        <v>11.68</v>
      </c>
      <c r="X293">
        <v>1</v>
      </c>
      <c r="Y293">
        <v>22</v>
      </c>
      <c r="Z293">
        <v>22.75</v>
      </c>
      <c r="AA293">
        <v>6.25</v>
      </c>
      <c r="AB293">
        <v>1.81</v>
      </c>
      <c r="AC293">
        <v>14.33</v>
      </c>
      <c r="AE293">
        <v>1</v>
      </c>
      <c r="AF293" t="s">
        <v>236</v>
      </c>
      <c r="AG293">
        <v>40</v>
      </c>
      <c r="AK293" t="s">
        <v>100</v>
      </c>
      <c r="AM293" t="s">
        <v>102</v>
      </c>
      <c r="AN293" t="s">
        <v>100</v>
      </c>
      <c r="AO293" t="s">
        <v>102</v>
      </c>
      <c r="AP293" t="s">
        <v>117</v>
      </c>
      <c r="AQ293" t="s">
        <v>104</v>
      </c>
      <c r="AV293" t="s">
        <v>102</v>
      </c>
      <c r="AX293" t="s">
        <v>168</v>
      </c>
      <c r="AZ293" t="s">
        <v>454</v>
      </c>
      <c r="BF293" t="s">
        <v>1532</v>
      </c>
      <c r="BG293" t="s">
        <v>102</v>
      </c>
      <c r="BH293" t="s">
        <v>102</v>
      </c>
      <c r="BI293" t="s">
        <v>102</v>
      </c>
      <c r="BK293" t="s">
        <v>107</v>
      </c>
      <c r="BR293">
        <v>2</v>
      </c>
      <c r="BT293">
        <v>5.5</v>
      </c>
      <c r="CA293" t="s">
        <v>1533</v>
      </c>
      <c r="CB293" t="s">
        <v>168</v>
      </c>
      <c r="CG293">
        <v>3000</v>
      </c>
      <c r="CH293">
        <v>72</v>
      </c>
      <c r="CJ293">
        <v>1003.1</v>
      </c>
      <c r="CK293">
        <v>30000</v>
      </c>
      <c r="CL293" t="s">
        <v>100</v>
      </c>
      <c r="CM293" t="s">
        <v>102</v>
      </c>
      <c r="CN293" t="s">
        <v>424</v>
      </c>
      <c r="CO293" s="1">
        <v>41403</v>
      </c>
      <c r="CP293" s="1">
        <v>43634</v>
      </c>
    </row>
    <row r="294" spans="1:94" x14ac:dyDescent="0.25">
      <c r="A294" t="s">
        <v>1534</v>
      </c>
      <c r="B294" t="str">
        <f xml:space="preserve"> "" &amp; 840254041943</f>
        <v>840254041943</v>
      </c>
      <c r="C294" t="s">
        <v>1535</v>
      </c>
      <c r="D294" t="s">
        <v>1530</v>
      </c>
      <c r="E294" t="s">
        <v>1531</v>
      </c>
      <c r="F294" t="s">
        <v>98</v>
      </c>
      <c r="G294">
        <v>1</v>
      </c>
      <c r="H294">
        <v>1</v>
      </c>
      <c r="I294" t="s">
        <v>99</v>
      </c>
      <c r="J294" s="4">
        <v>795</v>
      </c>
      <c r="K294" s="4">
        <v>2385</v>
      </c>
      <c r="O294" t="s">
        <v>100</v>
      </c>
      <c r="P294" s="4">
        <v>1669.95</v>
      </c>
      <c r="S294">
        <v>28.75</v>
      </c>
      <c r="T294">
        <v>27.75</v>
      </c>
      <c r="U294">
        <v>27.75</v>
      </c>
      <c r="W294">
        <v>18.96</v>
      </c>
      <c r="X294">
        <v>1</v>
      </c>
      <c r="Y294">
        <v>31.25</v>
      </c>
      <c r="Z294">
        <v>30</v>
      </c>
      <c r="AA294">
        <v>6.75</v>
      </c>
      <c r="AB294">
        <v>3.6619999999999999</v>
      </c>
      <c r="AC294">
        <v>24.58</v>
      </c>
      <c r="AE294">
        <v>2</v>
      </c>
      <c r="AF294" t="s">
        <v>236</v>
      </c>
      <c r="AG294">
        <v>80</v>
      </c>
      <c r="AK294" t="s">
        <v>100</v>
      </c>
      <c r="AM294" t="s">
        <v>102</v>
      </c>
      <c r="AN294" t="s">
        <v>100</v>
      </c>
      <c r="AO294" t="s">
        <v>102</v>
      </c>
      <c r="AP294" t="s">
        <v>117</v>
      </c>
      <c r="AQ294" t="s">
        <v>104</v>
      </c>
      <c r="AV294" t="s">
        <v>102</v>
      </c>
      <c r="AX294" t="s">
        <v>168</v>
      </c>
      <c r="AZ294" t="s">
        <v>454</v>
      </c>
      <c r="BB294" t="s">
        <v>147</v>
      </c>
      <c r="BF294" t="s">
        <v>1536</v>
      </c>
      <c r="BG294" t="s">
        <v>102</v>
      </c>
      <c r="BH294" t="s">
        <v>102</v>
      </c>
      <c r="BI294" t="s">
        <v>102</v>
      </c>
      <c r="BK294" t="s">
        <v>107</v>
      </c>
      <c r="BQ294">
        <v>6.25</v>
      </c>
      <c r="BR294">
        <v>3</v>
      </c>
      <c r="BS294">
        <v>6.25</v>
      </c>
      <c r="BT294">
        <v>6.25</v>
      </c>
      <c r="CA294" t="s">
        <v>1537</v>
      </c>
      <c r="CB294" t="s">
        <v>168</v>
      </c>
      <c r="CG294">
        <v>3000</v>
      </c>
      <c r="CH294">
        <v>72</v>
      </c>
      <c r="CJ294">
        <v>1930</v>
      </c>
      <c r="CK294">
        <v>30000</v>
      </c>
      <c r="CL294" t="s">
        <v>100</v>
      </c>
      <c r="CM294" t="s">
        <v>100</v>
      </c>
      <c r="CN294" t="s">
        <v>272</v>
      </c>
      <c r="CO294" s="1">
        <v>41403</v>
      </c>
      <c r="CP294" s="1">
        <v>43634</v>
      </c>
    </row>
    <row r="295" spans="1:94" x14ac:dyDescent="0.25">
      <c r="A295" t="s">
        <v>1538</v>
      </c>
      <c r="B295" t="str">
        <f xml:space="preserve"> "" &amp; 840254041967</f>
        <v>840254041967</v>
      </c>
      <c r="C295" t="s">
        <v>1529</v>
      </c>
      <c r="D295" t="s">
        <v>1530</v>
      </c>
      <c r="E295" t="s">
        <v>1531</v>
      </c>
      <c r="F295" t="s">
        <v>98</v>
      </c>
      <c r="G295">
        <v>1</v>
      </c>
      <c r="H295">
        <v>1</v>
      </c>
      <c r="I295" t="s">
        <v>99</v>
      </c>
      <c r="J295" s="4">
        <v>695</v>
      </c>
      <c r="K295" s="4">
        <v>2085</v>
      </c>
      <c r="O295" t="s">
        <v>100</v>
      </c>
      <c r="P295" s="4">
        <v>1459.95</v>
      </c>
      <c r="S295">
        <v>40.25</v>
      </c>
      <c r="U295">
        <v>13</v>
      </c>
      <c r="W295">
        <v>20.72</v>
      </c>
      <c r="X295">
        <v>1</v>
      </c>
      <c r="Y295">
        <v>16.25</v>
      </c>
      <c r="Z295">
        <v>42</v>
      </c>
      <c r="AA295">
        <v>15</v>
      </c>
      <c r="AB295">
        <v>5.9240000000000004</v>
      </c>
      <c r="AC295">
        <v>25.68</v>
      </c>
      <c r="AE295">
        <v>2</v>
      </c>
      <c r="AF295" t="s">
        <v>236</v>
      </c>
      <c r="AG295">
        <v>40</v>
      </c>
      <c r="AK295" t="s">
        <v>100</v>
      </c>
      <c r="AM295" t="s">
        <v>102</v>
      </c>
      <c r="AN295" t="s">
        <v>100</v>
      </c>
      <c r="AO295" t="s">
        <v>102</v>
      </c>
      <c r="AP295" t="s">
        <v>117</v>
      </c>
      <c r="AQ295" t="s">
        <v>104</v>
      </c>
      <c r="AV295" t="s">
        <v>102</v>
      </c>
      <c r="AX295" t="s">
        <v>168</v>
      </c>
      <c r="AZ295" t="s">
        <v>454</v>
      </c>
      <c r="BB295" t="s">
        <v>55</v>
      </c>
      <c r="BC295" t="s">
        <v>1539</v>
      </c>
      <c r="BF295" t="s">
        <v>1540</v>
      </c>
      <c r="BG295" t="s">
        <v>102</v>
      </c>
      <c r="BH295" t="s">
        <v>102</v>
      </c>
      <c r="BI295" t="s">
        <v>102</v>
      </c>
      <c r="BK295" t="s">
        <v>107</v>
      </c>
      <c r="BR295">
        <v>3</v>
      </c>
      <c r="BT295">
        <v>6.25</v>
      </c>
      <c r="CA295" t="s">
        <v>1541</v>
      </c>
      <c r="CB295" t="s">
        <v>168</v>
      </c>
      <c r="CG295">
        <v>3000</v>
      </c>
      <c r="CH295">
        <v>72</v>
      </c>
      <c r="CJ295">
        <v>1574.6</v>
      </c>
      <c r="CK295">
        <v>30000</v>
      </c>
      <c r="CL295" t="s">
        <v>100</v>
      </c>
      <c r="CM295" t="s">
        <v>102</v>
      </c>
      <c r="CN295" t="s">
        <v>424</v>
      </c>
      <c r="CO295" s="1">
        <v>41403</v>
      </c>
      <c r="CP295" s="1">
        <v>43634</v>
      </c>
    </row>
    <row r="296" spans="1:94" x14ac:dyDescent="0.25">
      <c r="A296" t="s">
        <v>1542</v>
      </c>
      <c r="B296" t="str">
        <f xml:space="preserve"> "" &amp; 840254013803</f>
        <v>840254013803</v>
      </c>
      <c r="C296" t="s">
        <v>178</v>
      </c>
      <c r="D296" t="s">
        <v>178</v>
      </c>
      <c r="F296" t="s">
        <v>179</v>
      </c>
      <c r="G296">
        <v>1</v>
      </c>
      <c r="H296">
        <v>1</v>
      </c>
      <c r="I296" t="s">
        <v>99</v>
      </c>
      <c r="J296" s="4">
        <v>265</v>
      </c>
      <c r="K296" s="4">
        <v>795</v>
      </c>
      <c r="O296" t="s">
        <v>100</v>
      </c>
      <c r="P296" s="4">
        <v>559.95000000000005</v>
      </c>
      <c r="S296">
        <v>11.75</v>
      </c>
      <c r="U296">
        <v>15</v>
      </c>
      <c r="V296">
        <v>7.5</v>
      </c>
      <c r="W296">
        <v>4.21</v>
      </c>
      <c r="X296">
        <v>1</v>
      </c>
      <c r="Y296">
        <v>15.75</v>
      </c>
      <c r="Z296">
        <v>23.65</v>
      </c>
      <c r="AA296">
        <v>23.65</v>
      </c>
      <c r="AB296">
        <v>5.0979999999999999</v>
      </c>
      <c r="AC296">
        <v>5.87</v>
      </c>
      <c r="AE296">
        <v>2</v>
      </c>
      <c r="AF296" t="s">
        <v>101</v>
      </c>
      <c r="AG296">
        <v>60</v>
      </c>
      <c r="AK296" t="s">
        <v>102</v>
      </c>
      <c r="AM296" t="s">
        <v>102</v>
      </c>
      <c r="AN296" t="s">
        <v>102</v>
      </c>
      <c r="AO296" t="s">
        <v>102</v>
      </c>
      <c r="AP296" t="s">
        <v>117</v>
      </c>
      <c r="AQ296" t="s">
        <v>104</v>
      </c>
      <c r="AV296" t="s">
        <v>102</v>
      </c>
      <c r="AZ296" t="s">
        <v>163</v>
      </c>
      <c r="BF296" t="s">
        <v>1543</v>
      </c>
      <c r="BG296" t="s">
        <v>102</v>
      </c>
      <c r="BH296" t="s">
        <v>102</v>
      </c>
      <c r="BI296" t="s">
        <v>102</v>
      </c>
      <c r="BK296" t="s">
        <v>107</v>
      </c>
      <c r="BL296" t="s">
        <v>180</v>
      </c>
      <c r="CA296" t="s">
        <v>1542</v>
      </c>
      <c r="CL296" t="s">
        <v>102</v>
      </c>
      <c r="CM296" t="s">
        <v>102</v>
      </c>
      <c r="CN296" t="s">
        <v>1544</v>
      </c>
      <c r="CO296" s="1">
        <v>41759</v>
      </c>
      <c r="CP296" s="1">
        <v>43634</v>
      </c>
    </row>
    <row r="297" spans="1:94" x14ac:dyDescent="0.25">
      <c r="A297" t="s">
        <v>1545</v>
      </c>
      <c r="B297" t="str">
        <f xml:space="preserve"> "" &amp; 840254013827</f>
        <v>840254013827</v>
      </c>
      <c r="C297" t="s">
        <v>740</v>
      </c>
      <c r="D297" t="s">
        <v>740</v>
      </c>
      <c r="F297" t="s">
        <v>98</v>
      </c>
      <c r="G297">
        <v>1</v>
      </c>
      <c r="H297">
        <v>1</v>
      </c>
      <c r="I297" t="s">
        <v>99</v>
      </c>
      <c r="J297" s="4">
        <v>895</v>
      </c>
      <c r="K297" s="4">
        <v>2685</v>
      </c>
      <c r="O297" t="s">
        <v>100</v>
      </c>
      <c r="P297" s="4">
        <v>1879.95</v>
      </c>
      <c r="S297">
        <v>18.5</v>
      </c>
      <c r="T297">
        <v>29.5</v>
      </c>
      <c r="U297">
        <v>29.5</v>
      </c>
      <c r="W297">
        <v>29.01</v>
      </c>
      <c r="X297">
        <v>1</v>
      </c>
      <c r="Y297">
        <v>17.321999999999999</v>
      </c>
      <c r="Z297">
        <v>17.32</v>
      </c>
      <c r="AA297">
        <v>17.321999999999999</v>
      </c>
      <c r="AB297">
        <v>3.0070000000000001</v>
      </c>
      <c r="AC297">
        <v>37.4</v>
      </c>
      <c r="AE297">
        <v>6</v>
      </c>
      <c r="AF297" t="s">
        <v>101</v>
      </c>
      <c r="AG297">
        <v>60</v>
      </c>
      <c r="AK297" t="s">
        <v>102</v>
      </c>
      <c r="AM297" t="s">
        <v>102</v>
      </c>
      <c r="AN297" t="s">
        <v>102</v>
      </c>
      <c r="AO297" t="s">
        <v>102</v>
      </c>
      <c r="AP297" t="s">
        <v>103</v>
      </c>
      <c r="AQ297" t="s">
        <v>104</v>
      </c>
      <c r="AV297" t="s">
        <v>102</v>
      </c>
      <c r="AZ297" t="s">
        <v>163</v>
      </c>
      <c r="BF297" t="s">
        <v>1546</v>
      </c>
      <c r="BG297" t="s">
        <v>102</v>
      </c>
      <c r="BH297" t="s">
        <v>102</v>
      </c>
      <c r="BI297" t="s">
        <v>102</v>
      </c>
      <c r="BK297" t="s">
        <v>107</v>
      </c>
      <c r="BR297">
        <v>2.13</v>
      </c>
      <c r="BT297">
        <v>5.5</v>
      </c>
      <c r="CA297" t="s">
        <v>1545</v>
      </c>
      <c r="CL297" t="s">
        <v>102</v>
      </c>
      <c r="CM297" t="s">
        <v>102</v>
      </c>
      <c r="CN297" t="s">
        <v>1544</v>
      </c>
      <c r="CO297" s="1">
        <v>41759</v>
      </c>
      <c r="CP297" s="1">
        <v>43634</v>
      </c>
    </row>
    <row r="298" spans="1:94" x14ac:dyDescent="0.25">
      <c r="A298" t="s">
        <v>1547</v>
      </c>
      <c r="B298" t="str">
        <f xml:space="preserve"> "" &amp; 840254013834</f>
        <v>840254013834</v>
      </c>
      <c r="C298" t="s">
        <v>95</v>
      </c>
      <c r="D298" t="s">
        <v>95</v>
      </c>
      <c r="F298" t="s">
        <v>98</v>
      </c>
      <c r="G298">
        <v>1</v>
      </c>
      <c r="H298">
        <v>1</v>
      </c>
      <c r="I298" t="s">
        <v>99</v>
      </c>
      <c r="J298" s="4">
        <v>1395</v>
      </c>
      <c r="K298" s="4">
        <v>4185</v>
      </c>
      <c r="O298" t="s">
        <v>100</v>
      </c>
      <c r="P298" s="4">
        <v>2929.95</v>
      </c>
      <c r="S298">
        <v>29</v>
      </c>
      <c r="U298">
        <v>31</v>
      </c>
      <c r="W298">
        <v>59.01</v>
      </c>
      <c r="X298">
        <v>1</v>
      </c>
      <c r="Y298">
        <v>22</v>
      </c>
      <c r="Z298">
        <v>19</v>
      </c>
      <c r="AA298">
        <v>19</v>
      </c>
      <c r="AB298">
        <v>4.5960000000000001</v>
      </c>
      <c r="AC298">
        <v>59.01</v>
      </c>
      <c r="AE298">
        <v>12</v>
      </c>
      <c r="AF298" t="s">
        <v>101</v>
      </c>
      <c r="AG298">
        <v>60</v>
      </c>
      <c r="AK298" t="s">
        <v>102</v>
      </c>
      <c r="AM298" t="s">
        <v>102</v>
      </c>
      <c r="AN298" t="s">
        <v>102</v>
      </c>
      <c r="AO298" t="s">
        <v>102</v>
      </c>
      <c r="AP298" t="s">
        <v>103</v>
      </c>
      <c r="AQ298" t="s">
        <v>104</v>
      </c>
      <c r="AV298" t="s">
        <v>102</v>
      </c>
      <c r="AZ298" t="s">
        <v>163</v>
      </c>
      <c r="BF298" t="s">
        <v>1548</v>
      </c>
      <c r="BG298" t="s">
        <v>102</v>
      </c>
      <c r="BH298" t="s">
        <v>102</v>
      </c>
      <c r="BI298" t="s">
        <v>102</v>
      </c>
      <c r="BK298" t="s">
        <v>107</v>
      </c>
      <c r="CA298" t="s">
        <v>1547</v>
      </c>
      <c r="CL298" t="s">
        <v>102</v>
      </c>
      <c r="CM298" t="s">
        <v>102</v>
      </c>
      <c r="CN298" t="s">
        <v>1544</v>
      </c>
      <c r="CO298" s="1">
        <v>41759</v>
      </c>
      <c r="CP298" s="1">
        <v>43634</v>
      </c>
    </row>
    <row r="299" spans="1:94" x14ac:dyDescent="0.25">
      <c r="A299" t="s">
        <v>1549</v>
      </c>
      <c r="B299" t="str">
        <f xml:space="preserve"> "" &amp; 840254013841</f>
        <v>840254013841</v>
      </c>
      <c r="C299" t="s">
        <v>1200</v>
      </c>
      <c r="D299" t="s">
        <v>1200</v>
      </c>
      <c r="F299" t="s">
        <v>98</v>
      </c>
      <c r="G299">
        <v>1</v>
      </c>
      <c r="H299">
        <v>1</v>
      </c>
      <c r="I299" t="s">
        <v>99</v>
      </c>
      <c r="J299" s="4">
        <v>2595</v>
      </c>
      <c r="K299" s="4">
        <v>7785</v>
      </c>
      <c r="O299" t="s">
        <v>100</v>
      </c>
      <c r="P299" s="4">
        <v>5449.95</v>
      </c>
      <c r="S299">
        <v>27.5</v>
      </c>
      <c r="T299">
        <v>38.25</v>
      </c>
      <c r="U299">
        <v>38.25</v>
      </c>
      <c r="W299">
        <v>88.01</v>
      </c>
      <c r="X299">
        <v>1</v>
      </c>
      <c r="Y299">
        <v>23.622</v>
      </c>
      <c r="Z299">
        <v>23.622</v>
      </c>
      <c r="AA299">
        <v>23.622</v>
      </c>
      <c r="AB299">
        <v>7.6280000000000001</v>
      </c>
      <c r="AC299">
        <v>99</v>
      </c>
      <c r="AE299">
        <v>18</v>
      </c>
      <c r="AF299" t="s">
        <v>101</v>
      </c>
      <c r="AG299">
        <v>60</v>
      </c>
      <c r="AK299" t="s">
        <v>102</v>
      </c>
      <c r="AM299" t="s">
        <v>102</v>
      </c>
      <c r="AN299" t="s">
        <v>102</v>
      </c>
      <c r="AO299" t="s">
        <v>102</v>
      </c>
      <c r="AP299" t="s">
        <v>103</v>
      </c>
      <c r="AQ299" t="s">
        <v>104</v>
      </c>
      <c r="AV299" t="s">
        <v>102</v>
      </c>
      <c r="AZ299" t="s">
        <v>163</v>
      </c>
      <c r="BF299" t="s">
        <v>1550</v>
      </c>
      <c r="BG299" t="s">
        <v>102</v>
      </c>
      <c r="BH299" t="s">
        <v>102</v>
      </c>
      <c r="BI299" t="s">
        <v>102</v>
      </c>
      <c r="BR299">
        <v>2.13</v>
      </c>
      <c r="BT299">
        <v>5.5</v>
      </c>
      <c r="CA299" t="s">
        <v>1549</v>
      </c>
      <c r="CL299" t="s">
        <v>102</v>
      </c>
      <c r="CM299" t="s">
        <v>102</v>
      </c>
      <c r="CN299" t="s">
        <v>1544</v>
      </c>
      <c r="CO299" s="1">
        <v>41759</v>
      </c>
      <c r="CP299" s="1">
        <v>43634</v>
      </c>
    </row>
    <row r="300" spans="1:94" x14ac:dyDescent="0.25">
      <c r="A300" t="s">
        <v>1551</v>
      </c>
      <c r="B300" t="str">
        <f xml:space="preserve"> "" &amp; 840254013896</f>
        <v>840254013896</v>
      </c>
      <c r="C300" t="s">
        <v>111</v>
      </c>
      <c r="D300" t="s">
        <v>111</v>
      </c>
      <c r="F300" t="s">
        <v>98</v>
      </c>
      <c r="G300">
        <v>1</v>
      </c>
      <c r="H300">
        <v>1</v>
      </c>
      <c r="I300" t="s">
        <v>99</v>
      </c>
      <c r="J300" s="4">
        <v>1395</v>
      </c>
      <c r="K300" s="4">
        <v>4185</v>
      </c>
      <c r="O300" t="s">
        <v>100</v>
      </c>
      <c r="P300" s="4">
        <v>2929.95</v>
      </c>
      <c r="S300">
        <v>27</v>
      </c>
      <c r="T300">
        <v>33</v>
      </c>
      <c r="U300">
        <v>33</v>
      </c>
      <c r="W300">
        <v>47</v>
      </c>
      <c r="X300">
        <v>1</v>
      </c>
      <c r="Y300">
        <v>22.83</v>
      </c>
      <c r="Z300">
        <v>18.899999999999999</v>
      </c>
      <c r="AA300">
        <v>18.899999999999999</v>
      </c>
      <c r="AB300">
        <v>4.7190000000000003</v>
      </c>
      <c r="AC300">
        <v>55.16</v>
      </c>
      <c r="AE300">
        <v>8</v>
      </c>
      <c r="AF300" t="s">
        <v>1552</v>
      </c>
      <c r="AG300">
        <v>60</v>
      </c>
      <c r="AK300" t="s">
        <v>102</v>
      </c>
      <c r="AM300" t="s">
        <v>102</v>
      </c>
      <c r="AN300" t="s">
        <v>102</v>
      </c>
      <c r="AO300" t="s">
        <v>102</v>
      </c>
      <c r="AP300" t="s">
        <v>103</v>
      </c>
      <c r="AQ300" t="s">
        <v>104</v>
      </c>
      <c r="AV300" t="s">
        <v>102</v>
      </c>
      <c r="AZ300" t="s">
        <v>163</v>
      </c>
      <c r="BF300" t="s">
        <v>1553</v>
      </c>
      <c r="BG300" t="s">
        <v>102</v>
      </c>
      <c r="BH300" t="s">
        <v>102</v>
      </c>
      <c r="BI300" t="s">
        <v>102</v>
      </c>
      <c r="BK300" t="s">
        <v>107</v>
      </c>
      <c r="BR300">
        <v>2.13</v>
      </c>
      <c r="BT300">
        <v>5.5</v>
      </c>
      <c r="CA300" t="s">
        <v>1551</v>
      </c>
      <c r="CL300" t="s">
        <v>102</v>
      </c>
      <c r="CM300" t="s">
        <v>102</v>
      </c>
      <c r="CN300" t="s">
        <v>1544</v>
      </c>
      <c r="CO300" s="1">
        <v>41759</v>
      </c>
      <c r="CP300" s="1">
        <v>43634</v>
      </c>
    </row>
    <row r="301" spans="1:94" x14ac:dyDescent="0.25">
      <c r="A301" t="s">
        <v>1554</v>
      </c>
      <c r="B301" t="str">
        <f xml:space="preserve"> "" &amp; 840254044432</f>
        <v>840254044432</v>
      </c>
      <c r="C301" t="s">
        <v>290</v>
      </c>
      <c r="D301" t="s">
        <v>1555</v>
      </c>
      <c r="E301" t="s">
        <v>512</v>
      </c>
      <c r="F301" t="s">
        <v>179</v>
      </c>
      <c r="G301">
        <v>1</v>
      </c>
      <c r="H301">
        <v>1</v>
      </c>
      <c r="I301" t="s">
        <v>99</v>
      </c>
      <c r="J301" s="4">
        <v>75</v>
      </c>
      <c r="K301" s="4">
        <v>225</v>
      </c>
      <c r="O301" t="s">
        <v>100</v>
      </c>
      <c r="P301" s="4">
        <v>159.94999999999999</v>
      </c>
      <c r="S301">
        <v>24.75</v>
      </c>
      <c r="U301">
        <v>6</v>
      </c>
      <c r="V301">
        <v>5</v>
      </c>
      <c r="W301">
        <v>2.0699999999999998</v>
      </c>
      <c r="X301">
        <v>1</v>
      </c>
      <c r="Y301">
        <v>8.5</v>
      </c>
      <c r="Z301">
        <v>21.5</v>
      </c>
      <c r="AA301">
        <v>8.5</v>
      </c>
      <c r="AB301">
        <v>0.89900000000000002</v>
      </c>
      <c r="AC301">
        <v>4.25</v>
      </c>
      <c r="AE301">
        <v>1</v>
      </c>
      <c r="AF301" t="s">
        <v>176</v>
      </c>
      <c r="AG301">
        <v>60</v>
      </c>
      <c r="AK301" t="s">
        <v>102</v>
      </c>
      <c r="AM301" t="s">
        <v>102</v>
      </c>
      <c r="AN301" t="s">
        <v>100</v>
      </c>
      <c r="AO301" t="s">
        <v>102</v>
      </c>
      <c r="AP301" t="s">
        <v>117</v>
      </c>
      <c r="AQ301" t="s">
        <v>104</v>
      </c>
      <c r="AV301" t="s">
        <v>102</v>
      </c>
      <c r="AX301" t="s">
        <v>479</v>
      </c>
      <c r="AZ301" t="s">
        <v>163</v>
      </c>
      <c r="BB301" t="s">
        <v>193</v>
      </c>
      <c r="BC301" t="s">
        <v>1556</v>
      </c>
      <c r="BF301" t="s">
        <v>1557</v>
      </c>
      <c r="BG301" t="s">
        <v>102</v>
      </c>
      <c r="BH301" t="s">
        <v>102</v>
      </c>
      <c r="BI301" t="s">
        <v>102</v>
      </c>
      <c r="BK301" t="s">
        <v>191</v>
      </c>
      <c r="BR301">
        <v>0.75</v>
      </c>
      <c r="BS301">
        <v>5</v>
      </c>
      <c r="BT301">
        <v>5</v>
      </c>
      <c r="CA301" t="s">
        <v>1558</v>
      </c>
      <c r="CB301" t="s">
        <v>479</v>
      </c>
      <c r="CL301" t="s">
        <v>102</v>
      </c>
      <c r="CM301" t="s">
        <v>102</v>
      </c>
      <c r="CN301" t="s">
        <v>193</v>
      </c>
      <c r="CO301" s="1">
        <v>42095</v>
      </c>
      <c r="CP301" s="1">
        <v>43634</v>
      </c>
    </row>
    <row r="302" spans="1:94" x14ac:dyDescent="0.25">
      <c r="A302" t="s">
        <v>1559</v>
      </c>
      <c r="B302" t="str">
        <f xml:space="preserve"> "" &amp; 840254044418</f>
        <v>840254044418</v>
      </c>
      <c r="C302" t="s">
        <v>290</v>
      </c>
      <c r="D302" t="s">
        <v>1555</v>
      </c>
      <c r="E302" t="s">
        <v>512</v>
      </c>
      <c r="F302" t="s">
        <v>179</v>
      </c>
      <c r="G302">
        <v>1</v>
      </c>
      <c r="H302">
        <v>1</v>
      </c>
      <c r="I302" t="s">
        <v>99</v>
      </c>
      <c r="J302" s="4">
        <v>75</v>
      </c>
      <c r="K302" s="4">
        <v>225</v>
      </c>
      <c r="O302" t="s">
        <v>100</v>
      </c>
      <c r="P302" s="4">
        <v>159.94999999999999</v>
      </c>
      <c r="S302">
        <v>12.75</v>
      </c>
      <c r="U302">
        <v>5</v>
      </c>
      <c r="V302">
        <v>4</v>
      </c>
      <c r="W302">
        <v>5.73</v>
      </c>
      <c r="X302">
        <v>1</v>
      </c>
      <c r="Y302">
        <v>15.63</v>
      </c>
      <c r="Z302">
        <v>15.5</v>
      </c>
      <c r="AA302">
        <v>12.75</v>
      </c>
      <c r="AB302">
        <v>1.788</v>
      </c>
      <c r="AC302">
        <v>9.99</v>
      </c>
      <c r="AE302">
        <v>1</v>
      </c>
      <c r="AF302" t="s">
        <v>176</v>
      </c>
      <c r="AG302">
        <v>60</v>
      </c>
      <c r="AK302" t="s">
        <v>102</v>
      </c>
      <c r="AM302" t="s">
        <v>102</v>
      </c>
      <c r="AN302" t="s">
        <v>100</v>
      </c>
      <c r="AO302" t="s">
        <v>102</v>
      </c>
      <c r="AP302" t="s">
        <v>117</v>
      </c>
      <c r="AQ302" t="s">
        <v>104</v>
      </c>
      <c r="AV302" t="s">
        <v>102</v>
      </c>
      <c r="AX302" t="s">
        <v>479</v>
      </c>
      <c r="AZ302" t="s">
        <v>163</v>
      </c>
      <c r="BF302" t="s">
        <v>1560</v>
      </c>
      <c r="BG302" t="s">
        <v>102</v>
      </c>
      <c r="BH302" t="s">
        <v>100</v>
      </c>
      <c r="BI302" t="s">
        <v>102</v>
      </c>
      <c r="BK302" t="s">
        <v>191</v>
      </c>
      <c r="BR302">
        <v>1</v>
      </c>
      <c r="BT302">
        <v>7.5</v>
      </c>
      <c r="CA302" t="s">
        <v>1561</v>
      </c>
      <c r="CB302" t="s">
        <v>479</v>
      </c>
      <c r="CL302" t="s">
        <v>102</v>
      </c>
      <c r="CM302" t="s">
        <v>102</v>
      </c>
      <c r="CN302" t="s">
        <v>193</v>
      </c>
      <c r="CO302" s="1">
        <v>42095</v>
      </c>
      <c r="CP302" s="1">
        <v>43634</v>
      </c>
    </row>
    <row r="303" spans="1:94" x14ac:dyDescent="0.25">
      <c r="A303" t="s">
        <v>1562</v>
      </c>
      <c r="B303" t="str">
        <f xml:space="preserve"> "" &amp; 840254044425</f>
        <v>840254044425</v>
      </c>
      <c r="C303" t="s">
        <v>1014</v>
      </c>
      <c r="D303" t="s">
        <v>1563</v>
      </c>
      <c r="E303" t="s">
        <v>512</v>
      </c>
      <c r="F303" t="s">
        <v>179</v>
      </c>
      <c r="G303">
        <v>1</v>
      </c>
      <c r="H303">
        <v>1</v>
      </c>
      <c r="I303" t="s">
        <v>99</v>
      </c>
      <c r="J303" s="4">
        <v>145</v>
      </c>
      <c r="K303" s="4">
        <v>435</v>
      </c>
      <c r="O303" t="s">
        <v>100</v>
      </c>
      <c r="P303" s="4">
        <v>304.95</v>
      </c>
      <c r="S303">
        <v>39.25</v>
      </c>
      <c r="U303">
        <v>10.75</v>
      </c>
      <c r="V303">
        <v>6.75</v>
      </c>
      <c r="W303">
        <v>5.14</v>
      </c>
      <c r="X303">
        <v>1</v>
      </c>
      <c r="Y303">
        <v>8.25</v>
      </c>
      <c r="Z303">
        <v>36.5</v>
      </c>
      <c r="AA303">
        <v>11.63</v>
      </c>
      <c r="AB303">
        <v>2.0270000000000001</v>
      </c>
      <c r="AC303">
        <v>8.75</v>
      </c>
      <c r="AE303">
        <v>2</v>
      </c>
      <c r="AF303" t="s">
        <v>176</v>
      </c>
      <c r="AG303">
        <v>60</v>
      </c>
      <c r="AK303" t="s">
        <v>102</v>
      </c>
      <c r="AM303" t="s">
        <v>102</v>
      </c>
      <c r="AN303" t="s">
        <v>100</v>
      </c>
      <c r="AO303" t="s">
        <v>102</v>
      </c>
      <c r="AP303" t="s">
        <v>117</v>
      </c>
      <c r="AQ303" t="s">
        <v>104</v>
      </c>
      <c r="AV303" t="s">
        <v>102</v>
      </c>
      <c r="AX303" t="s">
        <v>479</v>
      </c>
      <c r="AZ303" t="s">
        <v>163</v>
      </c>
      <c r="BB303" t="s">
        <v>193</v>
      </c>
      <c r="BC303" t="s">
        <v>1556</v>
      </c>
      <c r="BF303" t="s">
        <v>1564</v>
      </c>
      <c r="BG303" t="s">
        <v>102</v>
      </c>
      <c r="BH303" t="s">
        <v>102</v>
      </c>
      <c r="BI303" t="s">
        <v>102</v>
      </c>
      <c r="BK303" t="s">
        <v>191</v>
      </c>
      <c r="BR303">
        <v>0.75</v>
      </c>
      <c r="BT303">
        <v>5.5</v>
      </c>
      <c r="CA303" t="s">
        <v>1565</v>
      </c>
      <c r="CB303" t="s">
        <v>479</v>
      </c>
      <c r="CL303" t="s">
        <v>102</v>
      </c>
      <c r="CM303" t="s">
        <v>102</v>
      </c>
      <c r="CN303" t="s">
        <v>272</v>
      </c>
      <c r="CO303" s="1">
        <v>42095</v>
      </c>
      <c r="CP303" s="1">
        <v>43634</v>
      </c>
    </row>
    <row r="304" spans="1:94" x14ac:dyDescent="0.25">
      <c r="A304" t="s">
        <v>1566</v>
      </c>
      <c r="B304" t="str">
        <f xml:space="preserve"> "" &amp; 840254044401</f>
        <v>840254044401</v>
      </c>
      <c r="C304" t="s">
        <v>230</v>
      </c>
      <c r="D304" t="s">
        <v>1567</v>
      </c>
      <c r="E304" t="s">
        <v>512</v>
      </c>
      <c r="F304" t="s">
        <v>179</v>
      </c>
      <c r="G304">
        <v>1</v>
      </c>
      <c r="H304">
        <v>1</v>
      </c>
      <c r="I304" t="s">
        <v>99</v>
      </c>
      <c r="J304" s="4">
        <v>150</v>
      </c>
      <c r="K304" s="4">
        <v>450</v>
      </c>
      <c r="O304" t="s">
        <v>100</v>
      </c>
      <c r="P304" s="4">
        <v>314.95</v>
      </c>
      <c r="S304">
        <v>20.5</v>
      </c>
      <c r="U304">
        <v>15</v>
      </c>
      <c r="V304">
        <v>9</v>
      </c>
      <c r="W304">
        <v>5.82</v>
      </c>
      <c r="X304">
        <v>1</v>
      </c>
      <c r="Y304">
        <v>20</v>
      </c>
      <c r="Z304">
        <v>17.5</v>
      </c>
      <c r="AA304">
        <v>12</v>
      </c>
      <c r="AB304">
        <v>2.431</v>
      </c>
      <c r="AC304">
        <v>8.9499999999999993</v>
      </c>
      <c r="AE304">
        <v>3</v>
      </c>
      <c r="AF304" t="s">
        <v>176</v>
      </c>
      <c r="AG304">
        <v>60</v>
      </c>
      <c r="AK304" t="s">
        <v>102</v>
      </c>
      <c r="AM304" t="s">
        <v>102</v>
      </c>
      <c r="AN304" t="s">
        <v>102</v>
      </c>
      <c r="AO304" t="s">
        <v>102</v>
      </c>
      <c r="AP304" t="s">
        <v>117</v>
      </c>
      <c r="AQ304" t="s">
        <v>104</v>
      </c>
      <c r="AV304" t="s">
        <v>102</v>
      </c>
      <c r="AX304" t="s">
        <v>479</v>
      </c>
      <c r="AZ304" t="s">
        <v>163</v>
      </c>
      <c r="BF304" t="s">
        <v>1568</v>
      </c>
      <c r="BG304" t="s">
        <v>102</v>
      </c>
      <c r="BH304" t="s">
        <v>102</v>
      </c>
      <c r="BI304" t="s">
        <v>102</v>
      </c>
      <c r="BK304" t="s">
        <v>191</v>
      </c>
      <c r="BM304">
        <v>5</v>
      </c>
      <c r="BN304">
        <v>8.5</v>
      </c>
      <c r="CA304" t="s">
        <v>1569</v>
      </c>
      <c r="CB304" t="s">
        <v>479</v>
      </c>
      <c r="CL304" t="s">
        <v>102</v>
      </c>
      <c r="CM304" t="s">
        <v>102</v>
      </c>
      <c r="CN304" t="s">
        <v>272</v>
      </c>
      <c r="CO304" s="1">
        <v>42101</v>
      </c>
      <c r="CP304" s="1">
        <v>43634</v>
      </c>
    </row>
    <row r="305" spans="1:94" x14ac:dyDescent="0.25">
      <c r="A305" t="s">
        <v>1570</v>
      </c>
      <c r="B305" t="str">
        <f xml:space="preserve"> "" &amp; 840254044494</f>
        <v>840254044494</v>
      </c>
      <c r="C305" t="s">
        <v>1571</v>
      </c>
      <c r="D305" t="s">
        <v>1572</v>
      </c>
      <c r="E305" t="s">
        <v>512</v>
      </c>
      <c r="F305" t="s">
        <v>371</v>
      </c>
      <c r="G305">
        <v>1</v>
      </c>
      <c r="H305">
        <v>1</v>
      </c>
      <c r="I305" t="s">
        <v>99</v>
      </c>
      <c r="J305" s="4">
        <v>150</v>
      </c>
      <c r="K305" s="4">
        <v>450</v>
      </c>
      <c r="O305" t="s">
        <v>100</v>
      </c>
      <c r="P305" s="4">
        <v>314.95</v>
      </c>
      <c r="S305">
        <v>16</v>
      </c>
      <c r="T305">
        <v>9.25</v>
      </c>
      <c r="U305">
        <v>9.25</v>
      </c>
      <c r="W305">
        <v>5.64</v>
      </c>
      <c r="X305">
        <v>1</v>
      </c>
      <c r="Y305">
        <v>15</v>
      </c>
      <c r="Z305">
        <v>11</v>
      </c>
      <c r="AA305">
        <v>11</v>
      </c>
      <c r="AB305">
        <v>1.05</v>
      </c>
      <c r="AC305">
        <v>7.63</v>
      </c>
      <c r="AE305">
        <v>4</v>
      </c>
      <c r="AF305" t="s">
        <v>176</v>
      </c>
      <c r="AG305">
        <v>60</v>
      </c>
      <c r="AK305" t="s">
        <v>102</v>
      </c>
      <c r="AM305" t="s">
        <v>102</v>
      </c>
      <c r="AN305" t="s">
        <v>100</v>
      </c>
      <c r="AO305" t="s">
        <v>102</v>
      </c>
      <c r="AP305" t="s">
        <v>117</v>
      </c>
      <c r="AQ305" t="s">
        <v>104</v>
      </c>
      <c r="AV305" t="s">
        <v>102</v>
      </c>
      <c r="AX305" t="s">
        <v>479</v>
      </c>
      <c r="AZ305" t="s">
        <v>163</v>
      </c>
      <c r="BF305" t="s">
        <v>1573</v>
      </c>
      <c r="BG305" t="s">
        <v>102</v>
      </c>
      <c r="BH305" t="s">
        <v>102</v>
      </c>
      <c r="BI305" t="s">
        <v>102</v>
      </c>
      <c r="BK305" t="s">
        <v>107</v>
      </c>
      <c r="BQ305">
        <v>5</v>
      </c>
      <c r="BR305">
        <v>1</v>
      </c>
      <c r="BS305">
        <v>5</v>
      </c>
      <c r="BT305">
        <v>5</v>
      </c>
      <c r="CA305" t="s">
        <v>1574</v>
      </c>
      <c r="CB305" t="s">
        <v>479</v>
      </c>
      <c r="CL305" t="s">
        <v>102</v>
      </c>
      <c r="CM305" t="s">
        <v>102</v>
      </c>
      <c r="CN305" t="s">
        <v>272</v>
      </c>
      <c r="CO305" s="1">
        <v>42101</v>
      </c>
      <c r="CP305" s="1">
        <v>43634</v>
      </c>
    </row>
    <row r="306" spans="1:94" x14ac:dyDescent="0.25">
      <c r="A306" t="s">
        <v>1575</v>
      </c>
      <c r="B306" t="str">
        <f xml:space="preserve"> "" &amp; 840254044388</f>
        <v>840254044388</v>
      </c>
      <c r="C306" t="s">
        <v>1576</v>
      </c>
      <c r="D306" t="s">
        <v>1577</v>
      </c>
      <c r="E306" t="s">
        <v>512</v>
      </c>
      <c r="F306" t="s">
        <v>371</v>
      </c>
      <c r="G306">
        <v>1</v>
      </c>
      <c r="H306">
        <v>1</v>
      </c>
      <c r="I306" t="s">
        <v>99</v>
      </c>
      <c r="J306" s="4">
        <v>595</v>
      </c>
      <c r="K306" s="4">
        <v>1785</v>
      </c>
      <c r="O306" t="s">
        <v>100</v>
      </c>
      <c r="P306" s="4">
        <v>1249.95</v>
      </c>
      <c r="S306">
        <v>41.25</v>
      </c>
      <c r="T306">
        <v>24</v>
      </c>
      <c r="U306">
        <v>24</v>
      </c>
      <c r="W306">
        <v>26.04</v>
      </c>
      <c r="X306">
        <v>1</v>
      </c>
      <c r="Y306">
        <v>36.630000000000003</v>
      </c>
      <c r="Z306">
        <v>25.38</v>
      </c>
      <c r="AA306">
        <v>24.25</v>
      </c>
      <c r="AB306">
        <v>13.047000000000001</v>
      </c>
      <c r="AC306">
        <v>37.79</v>
      </c>
      <c r="AE306">
        <v>5</v>
      </c>
      <c r="AF306" t="s">
        <v>187</v>
      </c>
      <c r="AG306">
        <v>60</v>
      </c>
      <c r="AK306" t="s">
        <v>102</v>
      </c>
      <c r="AM306" t="s">
        <v>102</v>
      </c>
      <c r="AN306" t="s">
        <v>100</v>
      </c>
      <c r="AO306" t="s">
        <v>102</v>
      </c>
      <c r="AP306" t="s">
        <v>103</v>
      </c>
      <c r="AQ306" t="s">
        <v>104</v>
      </c>
      <c r="AV306" t="s">
        <v>102</v>
      </c>
      <c r="AX306" t="s">
        <v>479</v>
      </c>
      <c r="AZ306" t="s">
        <v>163</v>
      </c>
      <c r="BF306" t="s">
        <v>1578</v>
      </c>
      <c r="BG306" t="s">
        <v>102</v>
      </c>
      <c r="BH306" t="s">
        <v>102</v>
      </c>
      <c r="BI306" t="s">
        <v>102</v>
      </c>
      <c r="BR306">
        <v>2</v>
      </c>
      <c r="BT306">
        <v>5.38</v>
      </c>
      <c r="CA306" t="s">
        <v>1579</v>
      </c>
      <c r="CB306" t="s">
        <v>479</v>
      </c>
      <c r="CL306" t="s">
        <v>102</v>
      </c>
      <c r="CM306" t="s">
        <v>102</v>
      </c>
      <c r="CN306" t="s">
        <v>272</v>
      </c>
      <c r="CO306" s="1">
        <v>42101</v>
      </c>
      <c r="CP306" s="1">
        <v>43634</v>
      </c>
    </row>
    <row r="307" spans="1:94" x14ac:dyDescent="0.25">
      <c r="A307" t="s">
        <v>1580</v>
      </c>
      <c r="B307" t="str">
        <f xml:space="preserve"> "" &amp; 840254044371</f>
        <v>840254044371</v>
      </c>
      <c r="C307" t="s">
        <v>1571</v>
      </c>
      <c r="D307" t="s">
        <v>1572</v>
      </c>
      <c r="E307" t="s">
        <v>512</v>
      </c>
      <c r="F307" t="s">
        <v>371</v>
      </c>
      <c r="G307">
        <v>1</v>
      </c>
      <c r="H307">
        <v>1</v>
      </c>
      <c r="I307" t="s">
        <v>99</v>
      </c>
      <c r="J307" s="4">
        <v>250</v>
      </c>
      <c r="K307" s="4">
        <v>750</v>
      </c>
      <c r="O307" t="s">
        <v>100</v>
      </c>
      <c r="P307" s="4">
        <v>524.95000000000005</v>
      </c>
      <c r="S307">
        <v>22.25</v>
      </c>
      <c r="T307">
        <v>12</v>
      </c>
      <c r="U307">
        <v>12</v>
      </c>
      <c r="W307">
        <v>12.5</v>
      </c>
      <c r="X307">
        <v>1</v>
      </c>
      <c r="Y307">
        <v>20.38</v>
      </c>
      <c r="Z307">
        <v>14.5</v>
      </c>
      <c r="AA307">
        <v>14.5</v>
      </c>
      <c r="AB307">
        <v>2.48</v>
      </c>
      <c r="AC307">
        <v>16.23</v>
      </c>
      <c r="AE307">
        <v>4</v>
      </c>
      <c r="AF307" t="s">
        <v>176</v>
      </c>
      <c r="AG307">
        <v>60</v>
      </c>
      <c r="AK307" t="s">
        <v>102</v>
      </c>
      <c r="AM307" t="s">
        <v>102</v>
      </c>
      <c r="AN307" t="s">
        <v>100</v>
      </c>
      <c r="AO307" t="s">
        <v>102</v>
      </c>
      <c r="AP307" t="s">
        <v>103</v>
      </c>
      <c r="AQ307" t="s">
        <v>104</v>
      </c>
      <c r="AV307" t="s">
        <v>102</v>
      </c>
      <c r="AX307" t="s">
        <v>479</v>
      </c>
      <c r="AZ307" t="s">
        <v>163</v>
      </c>
      <c r="BF307" t="s">
        <v>1581</v>
      </c>
      <c r="BG307" t="s">
        <v>102</v>
      </c>
      <c r="BH307" t="s">
        <v>102</v>
      </c>
      <c r="BI307" t="s">
        <v>102</v>
      </c>
      <c r="BK307" t="s">
        <v>107</v>
      </c>
      <c r="BQ307">
        <v>5</v>
      </c>
      <c r="BR307">
        <v>1</v>
      </c>
      <c r="BS307">
        <v>5</v>
      </c>
      <c r="BT307">
        <v>5</v>
      </c>
      <c r="CA307" t="s">
        <v>1582</v>
      </c>
      <c r="CB307" t="s">
        <v>479</v>
      </c>
      <c r="CL307" t="s">
        <v>102</v>
      </c>
      <c r="CM307" t="s">
        <v>102</v>
      </c>
      <c r="CN307" t="s">
        <v>272</v>
      </c>
      <c r="CO307" s="1">
        <v>42142</v>
      </c>
      <c r="CP307" s="1">
        <v>43634</v>
      </c>
    </row>
    <row r="308" spans="1:94" x14ac:dyDescent="0.25">
      <c r="A308" t="s">
        <v>1583</v>
      </c>
      <c r="B308" t="str">
        <f xml:space="preserve"> "" &amp; 840254044364</f>
        <v>840254044364</v>
      </c>
      <c r="C308" t="s">
        <v>1584</v>
      </c>
      <c r="D308" t="s">
        <v>1585</v>
      </c>
      <c r="E308" t="s">
        <v>512</v>
      </c>
      <c r="F308" t="s">
        <v>828</v>
      </c>
      <c r="G308">
        <v>1</v>
      </c>
      <c r="H308">
        <v>1</v>
      </c>
      <c r="I308" t="s">
        <v>99</v>
      </c>
      <c r="J308" s="4">
        <v>425</v>
      </c>
      <c r="K308" s="4">
        <v>1275</v>
      </c>
      <c r="O308" t="s">
        <v>100</v>
      </c>
      <c r="P308" s="4">
        <v>894.95</v>
      </c>
      <c r="S308">
        <v>23.5</v>
      </c>
      <c r="T308">
        <v>36.75</v>
      </c>
      <c r="U308">
        <v>12</v>
      </c>
      <c r="W308">
        <v>13.8</v>
      </c>
      <c r="X308">
        <v>1</v>
      </c>
      <c r="Y308">
        <v>13.75</v>
      </c>
      <c r="Z308">
        <v>39.75</v>
      </c>
      <c r="AA308">
        <v>14.5</v>
      </c>
      <c r="AB308">
        <v>4.5860000000000003</v>
      </c>
      <c r="AC308">
        <v>20.190000000000001</v>
      </c>
      <c r="AE308">
        <v>5</v>
      </c>
      <c r="AF308" t="s">
        <v>176</v>
      </c>
      <c r="AG308">
        <v>60</v>
      </c>
      <c r="AK308" t="s">
        <v>102</v>
      </c>
      <c r="AM308" t="s">
        <v>102</v>
      </c>
      <c r="AN308" t="s">
        <v>100</v>
      </c>
      <c r="AO308" t="s">
        <v>102</v>
      </c>
      <c r="AP308" t="s">
        <v>103</v>
      </c>
      <c r="AQ308" t="s">
        <v>104</v>
      </c>
      <c r="AV308" t="s">
        <v>102</v>
      </c>
      <c r="AX308" t="s">
        <v>479</v>
      </c>
      <c r="AZ308" t="s">
        <v>163</v>
      </c>
      <c r="BF308" t="s">
        <v>1586</v>
      </c>
      <c r="BG308" t="s">
        <v>102</v>
      </c>
      <c r="BH308" t="s">
        <v>102</v>
      </c>
      <c r="BI308" t="s">
        <v>102</v>
      </c>
      <c r="BK308" t="s">
        <v>107</v>
      </c>
      <c r="BR308">
        <v>0.75</v>
      </c>
      <c r="BS308">
        <v>11.5</v>
      </c>
      <c r="BT308">
        <v>5</v>
      </c>
      <c r="CA308" t="s">
        <v>1587</v>
      </c>
      <c r="CB308" t="s">
        <v>479</v>
      </c>
      <c r="CL308" t="s">
        <v>102</v>
      </c>
      <c r="CM308" t="s">
        <v>102</v>
      </c>
      <c r="CN308" t="s">
        <v>272</v>
      </c>
      <c r="CO308" s="1">
        <v>42101</v>
      </c>
      <c r="CP308" s="1">
        <v>43634</v>
      </c>
    </row>
    <row r="309" spans="1:94" x14ac:dyDescent="0.25">
      <c r="A309" t="s">
        <v>1588</v>
      </c>
      <c r="B309" t="str">
        <f xml:space="preserve"> "" &amp; 840254044395</f>
        <v>840254044395</v>
      </c>
      <c r="C309" t="s">
        <v>1576</v>
      </c>
      <c r="D309" t="s">
        <v>1577</v>
      </c>
      <c r="E309" t="s">
        <v>512</v>
      </c>
      <c r="F309" t="s">
        <v>371</v>
      </c>
      <c r="G309">
        <v>1</v>
      </c>
      <c r="H309">
        <v>1</v>
      </c>
      <c r="I309" t="s">
        <v>99</v>
      </c>
      <c r="J309" s="4">
        <v>495</v>
      </c>
      <c r="K309" s="4">
        <v>1485</v>
      </c>
      <c r="O309" t="s">
        <v>100</v>
      </c>
      <c r="P309" s="4">
        <v>1039.95</v>
      </c>
      <c r="S309">
        <v>34.25</v>
      </c>
      <c r="T309">
        <v>18</v>
      </c>
      <c r="U309">
        <v>18</v>
      </c>
      <c r="W309">
        <v>19.62</v>
      </c>
      <c r="X309">
        <v>1</v>
      </c>
      <c r="Y309">
        <v>30.63</v>
      </c>
      <c r="Z309">
        <v>19.63</v>
      </c>
      <c r="AA309">
        <v>18.75</v>
      </c>
      <c r="AB309">
        <v>6.524</v>
      </c>
      <c r="AC309">
        <v>27.38</v>
      </c>
      <c r="AE309">
        <v>5</v>
      </c>
      <c r="AF309" t="s">
        <v>187</v>
      </c>
      <c r="AG309">
        <v>60</v>
      </c>
      <c r="AK309" t="s">
        <v>102</v>
      </c>
      <c r="AM309" t="s">
        <v>102</v>
      </c>
      <c r="AN309" t="s">
        <v>100</v>
      </c>
      <c r="AO309" t="s">
        <v>102</v>
      </c>
      <c r="AP309" t="s">
        <v>103</v>
      </c>
      <c r="AQ309" t="s">
        <v>104</v>
      </c>
      <c r="AV309" t="s">
        <v>102</v>
      </c>
      <c r="AX309" t="s">
        <v>479</v>
      </c>
      <c r="AZ309" t="s">
        <v>163</v>
      </c>
      <c r="BF309" t="s">
        <v>1589</v>
      </c>
      <c r="BG309" t="s">
        <v>102</v>
      </c>
      <c r="BH309" t="s">
        <v>102</v>
      </c>
      <c r="BI309" t="s">
        <v>102</v>
      </c>
      <c r="BK309" t="s">
        <v>107</v>
      </c>
      <c r="BQ309">
        <v>5.38</v>
      </c>
      <c r="BR309">
        <v>2</v>
      </c>
      <c r="BS309">
        <v>5.38</v>
      </c>
      <c r="BT309">
        <v>5.38</v>
      </c>
      <c r="CA309" t="s">
        <v>1590</v>
      </c>
      <c r="CB309" t="s">
        <v>479</v>
      </c>
      <c r="CL309" t="s">
        <v>102</v>
      </c>
      <c r="CM309" t="s">
        <v>102</v>
      </c>
      <c r="CN309" t="s">
        <v>272</v>
      </c>
      <c r="CO309" s="1">
        <v>42101</v>
      </c>
      <c r="CP309" s="1">
        <v>43634</v>
      </c>
    </row>
    <row r="310" spans="1:94" x14ac:dyDescent="0.25">
      <c r="A310" t="s">
        <v>1591</v>
      </c>
      <c r="B310" t="str">
        <f xml:space="preserve"> "" &amp; 840254044340</f>
        <v>840254044340</v>
      </c>
      <c r="C310" t="s">
        <v>674</v>
      </c>
      <c r="D310" t="s">
        <v>1592</v>
      </c>
      <c r="E310" t="s">
        <v>512</v>
      </c>
      <c r="F310" t="s">
        <v>98</v>
      </c>
      <c r="G310">
        <v>1</v>
      </c>
      <c r="H310">
        <v>1</v>
      </c>
      <c r="I310" t="s">
        <v>99</v>
      </c>
      <c r="J310" s="4">
        <v>495</v>
      </c>
      <c r="K310" s="4">
        <v>1485</v>
      </c>
      <c r="O310" t="s">
        <v>100</v>
      </c>
      <c r="P310" s="4">
        <v>1039.95</v>
      </c>
      <c r="S310">
        <v>31</v>
      </c>
      <c r="T310">
        <v>24</v>
      </c>
      <c r="U310">
        <v>24</v>
      </c>
      <c r="W310">
        <v>20.55</v>
      </c>
      <c r="X310">
        <v>1</v>
      </c>
      <c r="Y310">
        <v>26.63</v>
      </c>
      <c r="Z310">
        <v>25.38</v>
      </c>
      <c r="AA310">
        <v>24.25</v>
      </c>
      <c r="AB310">
        <v>9.4849999999999994</v>
      </c>
      <c r="AC310">
        <v>30.69</v>
      </c>
      <c r="AE310">
        <v>5</v>
      </c>
      <c r="AF310" t="s">
        <v>167</v>
      </c>
      <c r="AG310">
        <v>60</v>
      </c>
      <c r="AK310" t="s">
        <v>102</v>
      </c>
      <c r="AM310" t="s">
        <v>102</v>
      </c>
      <c r="AN310" t="s">
        <v>100</v>
      </c>
      <c r="AO310" t="s">
        <v>102</v>
      </c>
      <c r="AP310" t="s">
        <v>103</v>
      </c>
      <c r="AQ310" t="s">
        <v>104</v>
      </c>
      <c r="AV310" t="s">
        <v>102</v>
      </c>
      <c r="AX310" t="s">
        <v>479</v>
      </c>
      <c r="AZ310" t="s">
        <v>163</v>
      </c>
      <c r="BF310" t="s">
        <v>1593</v>
      </c>
      <c r="BG310" t="s">
        <v>102</v>
      </c>
      <c r="BH310" t="s">
        <v>102</v>
      </c>
      <c r="BI310" t="s">
        <v>102</v>
      </c>
      <c r="BK310" t="s">
        <v>107</v>
      </c>
      <c r="BR310">
        <v>2</v>
      </c>
      <c r="BS310">
        <v>5.38</v>
      </c>
      <c r="BT310">
        <v>5.38</v>
      </c>
      <c r="CA310" t="s">
        <v>1594</v>
      </c>
      <c r="CB310" t="s">
        <v>479</v>
      </c>
      <c r="CL310" t="s">
        <v>102</v>
      </c>
      <c r="CM310" t="s">
        <v>102</v>
      </c>
      <c r="CN310" t="s">
        <v>272</v>
      </c>
      <c r="CO310" s="1">
        <v>42143</v>
      </c>
      <c r="CP310" s="1">
        <v>43634</v>
      </c>
    </row>
    <row r="311" spans="1:94" x14ac:dyDescent="0.25">
      <c r="A311" t="s">
        <v>1595</v>
      </c>
      <c r="B311" t="str">
        <f xml:space="preserve"> "" &amp; 840254044357</f>
        <v>840254044357</v>
      </c>
      <c r="C311" t="s">
        <v>95</v>
      </c>
      <c r="D311" t="s">
        <v>1596</v>
      </c>
      <c r="E311" t="s">
        <v>512</v>
      </c>
      <c r="F311" t="s">
        <v>98</v>
      </c>
      <c r="G311">
        <v>1</v>
      </c>
      <c r="H311">
        <v>1</v>
      </c>
      <c r="I311" t="s">
        <v>99</v>
      </c>
      <c r="J311" s="4">
        <v>525</v>
      </c>
      <c r="K311" s="4">
        <v>1575</v>
      </c>
      <c r="O311" t="s">
        <v>100</v>
      </c>
      <c r="P311" s="4">
        <v>1104.95</v>
      </c>
      <c r="S311">
        <v>27</v>
      </c>
      <c r="T311">
        <v>32</v>
      </c>
      <c r="U311">
        <v>32</v>
      </c>
      <c r="W311">
        <v>24.63</v>
      </c>
      <c r="X311">
        <v>1</v>
      </c>
      <c r="Y311">
        <v>24.38</v>
      </c>
      <c r="Z311">
        <v>34.130000000000003</v>
      </c>
      <c r="AA311">
        <v>20.25</v>
      </c>
      <c r="AB311">
        <v>9.7509999999999994</v>
      </c>
      <c r="AC311">
        <v>34.57</v>
      </c>
      <c r="AE311">
        <v>12</v>
      </c>
      <c r="AF311" t="s">
        <v>1597</v>
      </c>
      <c r="AG311">
        <v>60</v>
      </c>
      <c r="AK311" t="s">
        <v>102</v>
      </c>
      <c r="AM311" t="s">
        <v>102</v>
      </c>
      <c r="AN311" t="s">
        <v>100</v>
      </c>
      <c r="AO311" t="s">
        <v>102</v>
      </c>
      <c r="AP311" t="s">
        <v>103</v>
      </c>
      <c r="AQ311" t="s">
        <v>104</v>
      </c>
      <c r="AV311" t="s">
        <v>102</v>
      </c>
      <c r="AX311" t="s">
        <v>479</v>
      </c>
      <c r="AZ311" t="s">
        <v>163</v>
      </c>
      <c r="BF311" t="s">
        <v>1598</v>
      </c>
      <c r="BG311" t="s">
        <v>102</v>
      </c>
      <c r="BH311" t="s">
        <v>102</v>
      </c>
      <c r="BI311" t="s">
        <v>102</v>
      </c>
      <c r="BK311" t="s">
        <v>107</v>
      </c>
      <c r="BQ311">
        <v>5.38</v>
      </c>
      <c r="BR311">
        <v>2</v>
      </c>
      <c r="BS311">
        <v>5.38</v>
      </c>
      <c r="BT311">
        <v>5.38</v>
      </c>
      <c r="CA311" t="s">
        <v>1599</v>
      </c>
      <c r="CB311" t="s">
        <v>479</v>
      </c>
      <c r="CL311" t="s">
        <v>100</v>
      </c>
      <c r="CM311" t="s">
        <v>102</v>
      </c>
      <c r="CN311" t="s">
        <v>272</v>
      </c>
      <c r="CO311" s="1">
        <v>42101</v>
      </c>
      <c r="CP311" s="1">
        <v>43634</v>
      </c>
    </row>
    <row r="312" spans="1:94" x14ac:dyDescent="0.25">
      <c r="A312" t="s">
        <v>1600</v>
      </c>
      <c r="B312" t="str">
        <f xml:space="preserve"> "" &amp; 840254044333</f>
        <v>840254044333</v>
      </c>
      <c r="C312" t="s">
        <v>1038</v>
      </c>
      <c r="D312" t="s">
        <v>1601</v>
      </c>
      <c r="E312" t="s">
        <v>512</v>
      </c>
      <c r="F312" t="s">
        <v>98</v>
      </c>
      <c r="G312">
        <v>1</v>
      </c>
      <c r="H312">
        <v>1</v>
      </c>
      <c r="I312" t="s">
        <v>99</v>
      </c>
      <c r="J312" s="4">
        <v>375</v>
      </c>
      <c r="K312" s="4">
        <v>1125</v>
      </c>
      <c r="O312" t="s">
        <v>100</v>
      </c>
      <c r="P312" s="4">
        <v>789.95</v>
      </c>
      <c r="S312">
        <v>24.75</v>
      </c>
      <c r="T312">
        <v>25</v>
      </c>
      <c r="U312">
        <v>25</v>
      </c>
      <c r="W312">
        <v>15.76</v>
      </c>
      <c r="X312">
        <v>1</v>
      </c>
      <c r="Y312">
        <v>20.25</v>
      </c>
      <c r="Z312">
        <v>23.13</v>
      </c>
      <c r="AA312">
        <v>18.5</v>
      </c>
      <c r="AB312">
        <v>5.0149999999999997</v>
      </c>
      <c r="AC312">
        <v>22.58</v>
      </c>
      <c r="AE312">
        <v>5</v>
      </c>
      <c r="AF312" t="s">
        <v>187</v>
      </c>
      <c r="AG312">
        <v>60</v>
      </c>
      <c r="AK312" t="s">
        <v>102</v>
      </c>
      <c r="AM312" t="s">
        <v>102</v>
      </c>
      <c r="AN312" t="s">
        <v>100</v>
      </c>
      <c r="AO312" t="s">
        <v>102</v>
      </c>
      <c r="AP312" t="s">
        <v>103</v>
      </c>
      <c r="AQ312" t="s">
        <v>104</v>
      </c>
      <c r="AV312" t="s">
        <v>102</v>
      </c>
      <c r="AX312" t="s">
        <v>479</v>
      </c>
      <c r="AZ312" t="s">
        <v>163</v>
      </c>
      <c r="BF312" t="s">
        <v>1602</v>
      </c>
      <c r="BG312" t="s">
        <v>102</v>
      </c>
      <c r="BH312" t="s">
        <v>102</v>
      </c>
      <c r="BI312" t="s">
        <v>102</v>
      </c>
      <c r="BQ312">
        <v>5.38</v>
      </c>
      <c r="BR312">
        <v>2</v>
      </c>
      <c r="BS312">
        <v>5.38</v>
      </c>
      <c r="BT312">
        <v>5.38</v>
      </c>
      <c r="CA312" t="s">
        <v>1603</v>
      </c>
      <c r="CB312" t="s">
        <v>479</v>
      </c>
      <c r="CL312" t="s">
        <v>102</v>
      </c>
      <c r="CM312" t="s">
        <v>102</v>
      </c>
      <c r="CN312" t="s">
        <v>272</v>
      </c>
      <c r="CO312" s="1">
        <v>42101</v>
      </c>
      <c r="CP312" s="1">
        <v>43634</v>
      </c>
    </row>
    <row r="313" spans="1:94" x14ac:dyDescent="0.25">
      <c r="A313" t="s">
        <v>1604</v>
      </c>
      <c r="B313" t="str">
        <f xml:space="preserve"> "" &amp; 840254047518</f>
        <v>840254047518</v>
      </c>
      <c r="C313" t="s">
        <v>1605</v>
      </c>
      <c r="D313" t="s">
        <v>1606</v>
      </c>
      <c r="E313" t="s">
        <v>185</v>
      </c>
      <c r="F313" t="s">
        <v>371</v>
      </c>
      <c r="G313">
        <v>1</v>
      </c>
      <c r="H313">
        <v>1</v>
      </c>
      <c r="I313" t="s">
        <v>99</v>
      </c>
      <c r="J313" s="4">
        <v>225</v>
      </c>
      <c r="K313" s="4">
        <v>675</v>
      </c>
      <c r="O313" t="s">
        <v>100</v>
      </c>
      <c r="P313" s="4">
        <v>474.95</v>
      </c>
      <c r="S313">
        <v>12.5</v>
      </c>
      <c r="U313">
        <v>8</v>
      </c>
      <c r="W313">
        <v>8.64</v>
      </c>
      <c r="X313">
        <v>1</v>
      </c>
      <c r="Y313">
        <v>11.5</v>
      </c>
      <c r="Z313">
        <v>18.5</v>
      </c>
      <c r="AA313">
        <v>12.25</v>
      </c>
      <c r="AB313">
        <v>1.508</v>
      </c>
      <c r="AC313">
        <v>10.34</v>
      </c>
      <c r="AE313">
        <v>1</v>
      </c>
      <c r="AF313" t="s">
        <v>198</v>
      </c>
      <c r="AG313">
        <v>100</v>
      </c>
      <c r="AK313" t="s">
        <v>102</v>
      </c>
      <c r="AM313" t="s">
        <v>102</v>
      </c>
      <c r="AN313" t="s">
        <v>102</v>
      </c>
      <c r="AO313" t="s">
        <v>100</v>
      </c>
      <c r="AP313" t="s">
        <v>117</v>
      </c>
      <c r="AQ313" t="s">
        <v>104</v>
      </c>
      <c r="AV313" t="s">
        <v>102</v>
      </c>
      <c r="AX313" t="s">
        <v>188</v>
      </c>
      <c r="AZ313" t="s">
        <v>189</v>
      </c>
      <c r="BF313" t="s">
        <v>1607</v>
      </c>
      <c r="BG313" t="s">
        <v>102</v>
      </c>
      <c r="BH313" t="s">
        <v>102</v>
      </c>
      <c r="BI313" t="s">
        <v>102</v>
      </c>
      <c r="BK313" t="s">
        <v>107</v>
      </c>
      <c r="BR313">
        <v>1</v>
      </c>
      <c r="BS313">
        <v>5.25</v>
      </c>
      <c r="BT313">
        <v>5.25</v>
      </c>
      <c r="CA313" t="s">
        <v>1608</v>
      </c>
      <c r="CB313" t="s">
        <v>188</v>
      </c>
      <c r="CL313" t="s">
        <v>100</v>
      </c>
      <c r="CM313" t="s">
        <v>100</v>
      </c>
      <c r="CN313" t="s">
        <v>193</v>
      </c>
      <c r="CO313" s="1">
        <v>42761</v>
      </c>
      <c r="CP313" s="1">
        <v>43634</v>
      </c>
    </row>
    <row r="314" spans="1:94" x14ac:dyDescent="0.25">
      <c r="A314" t="s">
        <v>1609</v>
      </c>
      <c r="B314" t="str">
        <f xml:space="preserve"> "" &amp; 840254047525</f>
        <v>840254047525</v>
      </c>
      <c r="C314" t="s">
        <v>178</v>
      </c>
      <c r="D314" t="s">
        <v>1610</v>
      </c>
      <c r="E314" t="s">
        <v>185</v>
      </c>
      <c r="F314" t="s">
        <v>179</v>
      </c>
      <c r="G314">
        <v>1</v>
      </c>
      <c r="H314">
        <v>1</v>
      </c>
      <c r="I314" t="s">
        <v>99</v>
      </c>
      <c r="J314" s="4">
        <v>200</v>
      </c>
      <c r="K314" s="4">
        <v>600</v>
      </c>
      <c r="O314" t="s">
        <v>100</v>
      </c>
      <c r="P314" s="4">
        <v>419.95</v>
      </c>
      <c r="S314">
        <v>13.5</v>
      </c>
      <c r="U314">
        <v>7.5</v>
      </c>
      <c r="V314">
        <v>5.25</v>
      </c>
      <c r="W314">
        <v>6.04</v>
      </c>
      <c r="X314">
        <v>1</v>
      </c>
      <c r="Y314">
        <v>8.5</v>
      </c>
      <c r="Z314">
        <v>17</v>
      </c>
      <c r="AA314">
        <v>10.5</v>
      </c>
      <c r="AB314">
        <v>0.878</v>
      </c>
      <c r="AC314">
        <v>7.43</v>
      </c>
      <c r="AE314">
        <v>2</v>
      </c>
      <c r="AF314" t="s">
        <v>187</v>
      </c>
      <c r="AG314">
        <v>60</v>
      </c>
      <c r="AK314" t="s">
        <v>102</v>
      </c>
      <c r="AM314" t="s">
        <v>102</v>
      </c>
      <c r="AN314" t="s">
        <v>100</v>
      </c>
      <c r="AO314" t="s">
        <v>102</v>
      </c>
      <c r="AP314" t="s">
        <v>117</v>
      </c>
      <c r="AQ314" t="s">
        <v>104</v>
      </c>
      <c r="AV314" t="s">
        <v>102</v>
      </c>
      <c r="AX314" t="s">
        <v>188</v>
      </c>
      <c r="AZ314" t="s">
        <v>189</v>
      </c>
      <c r="BF314" t="s">
        <v>1611</v>
      </c>
      <c r="BG314" t="s">
        <v>102</v>
      </c>
      <c r="BH314" t="s">
        <v>102</v>
      </c>
      <c r="BI314" t="s">
        <v>102</v>
      </c>
      <c r="BK314" t="s">
        <v>191</v>
      </c>
      <c r="BM314">
        <v>4.38</v>
      </c>
      <c r="BN314">
        <v>11</v>
      </c>
      <c r="CA314" t="s">
        <v>1612</v>
      </c>
      <c r="CB314" t="s">
        <v>188</v>
      </c>
      <c r="CL314" t="s">
        <v>100</v>
      </c>
      <c r="CM314" t="s">
        <v>102</v>
      </c>
      <c r="CN314" t="s">
        <v>193</v>
      </c>
      <c r="CO314" s="1">
        <v>42761</v>
      </c>
      <c r="CP314" s="1">
        <v>43634</v>
      </c>
    </row>
    <row r="315" spans="1:94" x14ac:dyDescent="0.25">
      <c r="A315" t="s">
        <v>1613</v>
      </c>
      <c r="B315" t="str">
        <f xml:space="preserve"> "" &amp; 840254047532</f>
        <v>840254047532</v>
      </c>
      <c r="C315" t="s">
        <v>1614</v>
      </c>
      <c r="D315" t="s">
        <v>1615</v>
      </c>
      <c r="E315" t="s">
        <v>185</v>
      </c>
      <c r="F315" t="s">
        <v>371</v>
      </c>
      <c r="G315">
        <v>1</v>
      </c>
      <c r="H315">
        <v>1</v>
      </c>
      <c r="I315" t="s">
        <v>99</v>
      </c>
      <c r="J315" s="4">
        <v>495</v>
      </c>
      <c r="K315" s="4">
        <v>1485</v>
      </c>
      <c r="O315" t="s">
        <v>100</v>
      </c>
      <c r="P315" s="4">
        <v>1039.95</v>
      </c>
      <c r="S315">
        <v>9.75</v>
      </c>
      <c r="U315">
        <v>20</v>
      </c>
      <c r="W315">
        <v>20.04</v>
      </c>
      <c r="X315">
        <v>1</v>
      </c>
      <c r="Y315">
        <v>13.75</v>
      </c>
      <c r="Z315">
        <v>23.25</v>
      </c>
      <c r="AA315">
        <v>23.25</v>
      </c>
      <c r="AB315">
        <v>4.3010000000000002</v>
      </c>
      <c r="AC315">
        <v>24.29</v>
      </c>
      <c r="AE315">
        <v>6</v>
      </c>
      <c r="AF315" t="s">
        <v>187</v>
      </c>
      <c r="AG315">
        <v>60</v>
      </c>
      <c r="AK315" t="s">
        <v>102</v>
      </c>
      <c r="AM315" t="s">
        <v>102</v>
      </c>
      <c r="AN315" t="s">
        <v>102</v>
      </c>
      <c r="AO315" t="s">
        <v>100</v>
      </c>
      <c r="AP315" t="s">
        <v>117</v>
      </c>
      <c r="AQ315" t="s">
        <v>104</v>
      </c>
      <c r="AV315" t="s">
        <v>102</v>
      </c>
      <c r="AX315" t="s">
        <v>188</v>
      </c>
      <c r="AZ315" t="s">
        <v>189</v>
      </c>
      <c r="BF315" t="s">
        <v>1616</v>
      </c>
      <c r="BG315" t="s">
        <v>102</v>
      </c>
      <c r="BH315" t="s">
        <v>102</v>
      </c>
      <c r="BI315" t="s">
        <v>102</v>
      </c>
      <c r="BK315" t="s">
        <v>107</v>
      </c>
      <c r="BR315">
        <v>1</v>
      </c>
      <c r="BS315">
        <v>5.13</v>
      </c>
      <c r="BT315">
        <v>5.13</v>
      </c>
      <c r="CA315" t="s">
        <v>1617</v>
      </c>
      <c r="CB315" t="s">
        <v>188</v>
      </c>
      <c r="CL315" t="s">
        <v>100</v>
      </c>
      <c r="CM315" t="s">
        <v>100</v>
      </c>
      <c r="CN315" t="s">
        <v>193</v>
      </c>
      <c r="CO315" s="1">
        <v>42761</v>
      </c>
      <c r="CP315" s="1">
        <v>43634</v>
      </c>
    </row>
    <row r="316" spans="1:94" x14ac:dyDescent="0.25">
      <c r="A316" t="s">
        <v>1618</v>
      </c>
      <c r="B316" t="str">
        <f xml:space="preserve"> "" &amp; 840254047495</f>
        <v>840254047495</v>
      </c>
      <c r="C316" t="s">
        <v>1619</v>
      </c>
      <c r="D316" t="s">
        <v>1620</v>
      </c>
      <c r="E316" t="s">
        <v>185</v>
      </c>
      <c r="F316" t="s">
        <v>98</v>
      </c>
      <c r="G316">
        <v>1</v>
      </c>
      <c r="H316">
        <v>1</v>
      </c>
      <c r="I316" t="s">
        <v>99</v>
      </c>
      <c r="J316" s="4">
        <v>650</v>
      </c>
      <c r="K316" s="4">
        <v>1950</v>
      </c>
      <c r="O316" t="s">
        <v>100</v>
      </c>
      <c r="P316" s="4">
        <v>1364.95</v>
      </c>
      <c r="S316">
        <v>10</v>
      </c>
      <c r="U316">
        <v>24</v>
      </c>
      <c r="W316">
        <v>23.96</v>
      </c>
      <c r="X316">
        <v>1</v>
      </c>
      <c r="Y316">
        <v>14.5</v>
      </c>
      <c r="Z316">
        <v>27</v>
      </c>
      <c r="AA316">
        <v>27</v>
      </c>
      <c r="AB316">
        <v>6.117</v>
      </c>
      <c r="AC316">
        <v>29.7</v>
      </c>
      <c r="AE316">
        <v>6</v>
      </c>
      <c r="AF316" t="s">
        <v>187</v>
      </c>
      <c r="AG316">
        <v>60</v>
      </c>
      <c r="AK316" t="s">
        <v>102</v>
      </c>
      <c r="AM316" t="s">
        <v>102</v>
      </c>
      <c r="AN316" t="s">
        <v>102</v>
      </c>
      <c r="AO316" t="s">
        <v>100</v>
      </c>
      <c r="AP316" t="s">
        <v>117</v>
      </c>
      <c r="AQ316" t="s">
        <v>104</v>
      </c>
      <c r="AV316" t="s">
        <v>102</v>
      </c>
      <c r="AX316" t="s">
        <v>188</v>
      </c>
      <c r="AZ316" t="s">
        <v>189</v>
      </c>
      <c r="BF316" t="s">
        <v>1621</v>
      </c>
      <c r="BG316" t="s">
        <v>102</v>
      </c>
      <c r="BH316" t="s">
        <v>102</v>
      </c>
      <c r="BI316" t="s">
        <v>102</v>
      </c>
      <c r="BK316" t="s">
        <v>191</v>
      </c>
      <c r="BQ316">
        <v>5.13</v>
      </c>
      <c r="BR316">
        <v>1</v>
      </c>
      <c r="BS316">
        <v>5.13</v>
      </c>
      <c r="BT316">
        <v>5.13</v>
      </c>
      <c r="CA316" t="s">
        <v>1622</v>
      </c>
      <c r="CB316" t="s">
        <v>188</v>
      </c>
      <c r="CL316" t="s">
        <v>100</v>
      </c>
      <c r="CM316" t="s">
        <v>100</v>
      </c>
      <c r="CN316" t="s">
        <v>193</v>
      </c>
      <c r="CO316" s="1">
        <v>42761</v>
      </c>
      <c r="CP316" s="1">
        <v>43634</v>
      </c>
    </row>
    <row r="317" spans="1:94" x14ac:dyDescent="0.25">
      <c r="A317" t="s">
        <v>1623</v>
      </c>
      <c r="B317" t="str">
        <f xml:space="preserve"> "" &amp; 840254047501</f>
        <v>840254047501</v>
      </c>
      <c r="C317" t="s">
        <v>1624</v>
      </c>
      <c r="D317" t="s">
        <v>1625</v>
      </c>
      <c r="E317" t="s">
        <v>185</v>
      </c>
      <c r="F317" t="s">
        <v>98</v>
      </c>
      <c r="G317">
        <v>1</v>
      </c>
      <c r="H317">
        <v>1</v>
      </c>
      <c r="I317" t="s">
        <v>99</v>
      </c>
      <c r="J317" s="4">
        <v>975</v>
      </c>
      <c r="K317" s="4">
        <v>2925</v>
      </c>
      <c r="O317" t="s">
        <v>100</v>
      </c>
      <c r="P317" s="4">
        <v>2049.9499999999998</v>
      </c>
      <c r="S317">
        <v>10.5</v>
      </c>
      <c r="U317">
        <v>32</v>
      </c>
      <c r="W317">
        <v>33.909999999999997</v>
      </c>
      <c r="X317">
        <v>1</v>
      </c>
      <c r="Y317">
        <v>14.5</v>
      </c>
      <c r="Z317">
        <v>35</v>
      </c>
      <c r="AA317">
        <v>35</v>
      </c>
      <c r="AB317">
        <v>10.279</v>
      </c>
      <c r="AC317">
        <v>43.3</v>
      </c>
      <c r="AE317">
        <v>8</v>
      </c>
      <c r="AF317" t="s">
        <v>187</v>
      </c>
      <c r="AG317">
        <v>60</v>
      </c>
      <c r="AK317" t="s">
        <v>102</v>
      </c>
      <c r="AM317" t="s">
        <v>102</v>
      </c>
      <c r="AN317" t="s">
        <v>102</v>
      </c>
      <c r="AO317" t="s">
        <v>100</v>
      </c>
      <c r="AP317" t="s">
        <v>117</v>
      </c>
      <c r="AQ317" t="s">
        <v>104</v>
      </c>
      <c r="AV317" t="s">
        <v>102</v>
      </c>
      <c r="AX317" t="s">
        <v>188</v>
      </c>
      <c r="AZ317" t="s">
        <v>189</v>
      </c>
      <c r="BF317" t="s">
        <v>1626</v>
      </c>
      <c r="BG317" t="s">
        <v>102</v>
      </c>
      <c r="BH317" t="s">
        <v>102</v>
      </c>
      <c r="BI317" t="s">
        <v>102</v>
      </c>
      <c r="BK317" t="s">
        <v>107</v>
      </c>
      <c r="BR317">
        <v>1</v>
      </c>
      <c r="BS317">
        <v>5.88</v>
      </c>
      <c r="BT317">
        <v>5.88</v>
      </c>
      <c r="CA317" t="s">
        <v>1627</v>
      </c>
      <c r="CB317" t="s">
        <v>188</v>
      </c>
      <c r="CL317" t="s">
        <v>100</v>
      </c>
      <c r="CM317" t="s">
        <v>100</v>
      </c>
      <c r="CN317" t="s">
        <v>193</v>
      </c>
      <c r="CO317" s="1">
        <v>42761</v>
      </c>
      <c r="CP317" s="1">
        <v>43634</v>
      </c>
    </row>
    <row r="318" spans="1:94" x14ac:dyDescent="0.25">
      <c r="A318" t="s">
        <v>1628</v>
      </c>
      <c r="B318" t="str">
        <f xml:space="preserve"> "" &amp; 840254047549</f>
        <v>840254047549</v>
      </c>
      <c r="C318" t="s">
        <v>1400</v>
      </c>
      <c r="D318" t="s">
        <v>1629</v>
      </c>
      <c r="E318" t="s">
        <v>185</v>
      </c>
      <c r="F318" t="s">
        <v>371</v>
      </c>
      <c r="G318">
        <v>1</v>
      </c>
      <c r="H318">
        <v>1</v>
      </c>
      <c r="I318" t="s">
        <v>99</v>
      </c>
      <c r="J318" s="4">
        <v>795</v>
      </c>
      <c r="K318" s="4">
        <v>2385</v>
      </c>
      <c r="O318" t="s">
        <v>100</v>
      </c>
      <c r="P318" s="4">
        <v>1669.95</v>
      </c>
      <c r="S318">
        <v>26.75</v>
      </c>
      <c r="U318">
        <v>13.75</v>
      </c>
      <c r="W318">
        <v>27.91</v>
      </c>
      <c r="X318">
        <v>1</v>
      </c>
      <c r="Y318">
        <v>33</v>
      </c>
      <c r="Z318">
        <v>17</v>
      </c>
      <c r="AA318">
        <v>17</v>
      </c>
      <c r="AB318">
        <v>5.5190000000000001</v>
      </c>
      <c r="AC318">
        <v>33.659999999999997</v>
      </c>
      <c r="AE318">
        <v>6</v>
      </c>
      <c r="AF318" t="s">
        <v>187</v>
      </c>
      <c r="AG318">
        <v>60</v>
      </c>
      <c r="AK318" t="s">
        <v>102</v>
      </c>
      <c r="AM318" t="s">
        <v>102</v>
      </c>
      <c r="AN318" t="s">
        <v>102</v>
      </c>
      <c r="AO318" t="s">
        <v>100</v>
      </c>
      <c r="AP318" t="s">
        <v>117</v>
      </c>
      <c r="AQ318" t="s">
        <v>104</v>
      </c>
      <c r="AV318" t="s">
        <v>102</v>
      </c>
      <c r="AX318" t="s">
        <v>188</v>
      </c>
      <c r="AZ318" t="s">
        <v>189</v>
      </c>
      <c r="BF318" t="s">
        <v>1630</v>
      </c>
      <c r="BG318" t="s">
        <v>102</v>
      </c>
      <c r="BH318" t="s">
        <v>102</v>
      </c>
      <c r="BI318" t="s">
        <v>102</v>
      </c>
      <c r="BK318" t="s">
        <v>107</v>
      </c>
      <c r="BR318">
        <v>1</v>
      </c>
      <c r="BS318">
        <v>5.13</v>
      </c>
      <c r="BT318">
        <v>5.13</v>
      </c>
      <c r="CA318" t="s">
        <v>1631</v>
      </c>
      <c r="CB318" t="s">
        <v>188</v>
      </c>
      <c r="CL318" t="s">
        <v>100</v>
      </c>
      <c r="CM318" t="s">
        <v>100</v>
      </c>
      <c r="CN318" t="s">
        <v>193</v>
      </c>
      <c r="CO318" s="1">
        <v>42789</v>
      </c>
      <c r="CP318" s="1">
        <v>43634</v>
      </c>
    </row>
    <row r="319" spans="1:94" x14ac:dyDescent="0.25">
      <c r="A319" t="s">
        <v>1632</v>
      </c>
      <c r="B319" t="str">
        <f xml:space="preserve"> "" &amp; 840254047556</f>
        <v>840254047556</v>
      </c>
      <c r="C319" t="s">
        <v>1624</v>
      </c>
      <c r="D319" t="s">
        <v>1625</v>
      </c>
      <c r="E319" t="s">
        <v>185</v>
      </c>
      <c r="F319" t="s">
        <v>98</v>
      </c>
      <c r="G319">
        <v>1</v>
      </c>
      <c r="H319">
        <v>1</v>
      </c>
      <c r="I319" t="s">
        <v>99</v>
      </c>
      <c r="J319" s="4">
        <v>1595</v>
      </c>
      <c r="K319" s="4">
        <v>4785</v>
      </c>
      <c r="O319" t="s">
        <v>100</v>
      </c>
      <c r="P319" s="4">
        <v>3349.95</v>
      </c>
      <c r="S319">
        <v>26.5</v>
      </c>
      <c r="U319">
        <v>24.5</v>
      </c>
      <c r="W319">
        <v>48.5</v>
      </c>
      <c r="X319">
        <v>1</v>
      </c>
      <c r="Y319">
        <v>28.25</v>
      </c>
      <c r="Z319">
        <v>28</v>
      </c>
      <c r="AA319">
        <v>28</v>
      </c>
      <c r="AB319">
        <v>12.817</v>
      </c>
      <c r="AC319">
        <v>59.66</v>
      </c>
      <c r="AE319">
        <v>8</v>
      </c>
      <c r="AF319" t="s">
        <v>187</v>
      </c>
      <c r="AG319">
        <v>60</v>
      </c>
      <c r="AK319" t="s">
        <v>102</v>
      </c>
      <c r="AM319" t="s">
        <v>102</v>
      </c>
      <c r="AN319" t="s">
        <v>102</v>
      </c>
      <c r="AO319" t="s">
        <v>100</v>
      </c>
      <c r="AP319" t="s">
        <v>103</v>
      </c>
      <c r="AQ319" t="s">
        <v>104</v>
      </c>
      <c r="AV319" t="s">
        <v>102</v>
      </c>
      <c r="AX319" t="s">
        <v>188</v>
      </c>
      <c r="AZ319" t="s">
        <v>189</v>
      </c>
      <c r="BF319" t="s">
        <v>1633</v>
      </c>
      <c r="BG319" t="s">
        <v>102</v>
      </c>
      <c r="BH319" t="s">
        <v>102</v>
      </c>
      <c r="BI319" t="s">
        <v>102</v>
      </c>
      <c r="BK319" t="s">
        <v>107</v>
      </c>
      <c r="BR319">
        <v>1</v>
      </c>
      <c r="BS319">
        <v>5.88</v>
      </c>
      <c r="BT319">
        <v>5.88</v>
      </c>
      <c r="CA319" t="s">
        <v>1632</v>
      </c>
      <c r="CB319" t="s">
        <v>188</v>
      </c>
      <c r="CL319" t="s">
        <v>100</v>
      </c>
      <c r="CM319" t="s">
        <v>100</v>
      </c>
      <c r="CN319" t="s">
        <v>193</v>
      </c>
      <c r="CO319" s="1">
        <v>42761</v>
      </c>
      <c r="CP319" s="1">
        <v>43634</v>
      </c>
    </row>
    <row r="320" spans="1:94" x14ac:dyDescent="0.25">
      <c r="A320" t="s">
        <v>1634</v>
      </c>
      <c r="B320" t="str">
        <f xml:space="preserve"> "" &amp; 840254042438</f>
        <v>840254042438</v>
      </c>
      <c r="C320" t="s">
        <v>171</v>
      </c>
      <c r="D320" t="s">
        <v>1635</v>
      </c>
      <c r="E320" t="s">
        <v>364</v>
      </c>
      <c r="F320" t="s">
        <v>98</v>
      </c>
      <c r="G320">
        <v>1</v>
      </c>
      <c r="H320">
        <v>1</v>
      </c>
      <c r="I320" t="s">
        <v>99</v>
      </c>
      <c r="J320" s="4">
        <v>495</v>
      </c>
      <c r="K320" s="4">
        <v>1485</v>
      </c>
      <c r="O320" t="s">
        <v>100</v>
      </c>
      <c r="P320" s="4">
        <v>1039.95</v>
      </c>
      <c r="S320">
        <v>28.25</v>
      </c>
      <c r="U320">
        <v>21.25</v>
      </c>
      <c r="W320">
        <v>25.79</v>
      </c>
      <c r="X320">
        <v>1</v>
      </c>
      <c r="Y320">
        <v>19.5</v>
      </c>
      <c r="Z320">
        <v>21.25</v>
      </c>
      <c r="AA320">
        <v>21.25</v>
      </c>
      <c r="AB320">
        <v>5.0960000000000001</v>
      </c>
      <c r="AC320">
        <v>30.51</v>
      </c>
      <c r="AE320">
        <v>15</v>
      </c>
      <c r="AF320" t="s">
        <v>365</v>
      </c>
      <c r="AG320">
        <v>60</v>
      </c>
      <c r="AK320" t="s">
        <v>102</v>
      </c>
      <c r="AM320" t="s">
        <v>102</v>
      </c>
      <c r="AN320" t="s">
        <v>102</v>
      </c>
      <c r="AO320" t="s">
        <v>100</v>
      </c>
      <c r="AP320" t="s">
        <v>103</v>
      </c>
      <c r="AQ320" t="s">
        <v>104</v>
      </c>
      <c r="AV320" t="s">
        <v>102</v>
      </c>
      <c r="AX320" t="s">
        <v>366</v>
      </c>
      <c r="AZ320" t="s">
        <v>163</v>
      </c>
      <c r="BF320" t="s">
        <v>1636</v>
      </c>
      <c r="BG320" t="s">
        <v>102</v>
      </c>
      <c r="BH320" t="s">
        <v>102</v>
      </c>
      <c r="BI320" t="s">
        <v>102</v>
      </c>
      <c r="BK320" t="s">
        <v>107</v>
      </c>
      <c r="BR320">
        <v>1.25</v>
      </c>
      <c r="BT320">
        <v>6.25</v>
      </c>
      <c r="CA320" t="s">
        <v>1637</v>
      </c>
      <c r="CB320" t="s">
        <v>366</v>
      </c>
      <c r="CL320" t="s">
        <v>102</v>
      </c>
      <c r="CM320" t="s">
        <v>102</v>
      </c>
      <c r="CN320" t="s">
        <v>361</v>
      </c>
      <c r="CO320" s="1">
        <v>41411</v>
      </c>
      <c r="CP320" s="1">
        <v>43634</v>
      </c>
    </row>
    <row r="321" spans="1:94" x14ac:dyDescent="0.25">
      <c r="A321" t="s">
        <v>1638</v>
      </c>
      <c r="B321" t="str">
        <f xml:space="preserve"> "" &amp; 840254041899</f>
        <v>840254041899</v>
      </c>
      <c r="C321" t="s">
        <v>1200</v>
      </c>
      <c r="D321" t="s">
        <v>1639</v>
      </c>
      <c r="E321" t="s">
        <v>364</v>
      </c>
      <c r="F321" t="s">
        <v>98</v>
      </c>
      <c r="G321">
        <v>1</v>
      </c>
      <c r="H321">
        <v>1</v>
      </c>
      <c r="I321" t="s">
        <v>99</v>
      </c>
      <c r="J321" s="4">
        <v>795</v>
      </c>
      <c r="K321" s="4">
        <v>2385</v>
      </c>
      <c r="O321" t="s">
        <v>100</v>
      </c>
      <c r="P321" s="4">
        <v>1669.95</v>
      </c>
      <c r="S321">
        <v>37.5</v>
      </c>
      <c r="U321">
        <v>31.5</v>
      </c>
      <c r="W321">
        <v>43.21</v>
      </c>
      <c r="X321">
        <v>1</v>
      </c>
      <c r="Y321">
        <v>26.5</v>
      </c>
      <c r="Z321">
        <v>34.5</v>
      </c>
      <c r="AA321">
        <v>31</v>
      </c>
      <c r="AB321">
        <v>16.401</v>
      </c>
      <c r="AC321">
        <v>57.41</v>
      </c>
      <c r="AE321">
        <v>18</v>
      </c>
      <c r="AF321" t="s">
        <v>176</v>
      </c>
      <c r="AG321">
        <v>60</v>
      </c>
      <c r="AK321" t="s">
        <v>102</v>
      </c>
      <c r="AM321" t="s">
        <v>102</v>
      </c>
      <c r="AN321" t="s">
        <v>102</v>
      </c>
      <c r="AO321" t="s">
        <v>100</v>
      </c>
      <c r="AP321" t="s">
        <v>103</v>
      </c>
      <c r="AQ321" t="s">
        <v>104</v>
      </c>
      <c r="AV321" t="s">
        <v>102</v>
      </c>
      <c r="AX321" t="s">
        <v>366</v>
      </c>
      <c r="AZ321" t="s">
        <v>163</v>
      </c>
      <c r="BF321" t="s">
        <v>1640</v>
      </c>
      <c r="BG321" t="s">
        <v>102</v>
      </c>
      <c r="BH321" t="s">
        <v>102</v>
      </c>
      <c r="BI321" t="s">
        <v>102</v>
      </c>
      <c r="BK321" t="s">
        <v>107</v>
      </c>
      <c r="BR321">
        <v>1.5</v>
      </c>
      <c r="BT321">
        <v>9.5</v>
      </c>
      <c r="CA321" t="s">
        <v>1641</v>
      </c>
      <c r="CB321" t="s">
        <v>366</v>
      </c>
      <c r="CL321" t="s">
        <v>102</v>
      </c>
      <c r="CM321" t="s">
        <v>102</v>
      </c>
      <c r="CN321" t="s">
        <v>193</v>
      </c>
      <c r="CO321" s="1">
        <v>41292</v>
      </c>
      <c r="CP321" s="1">
        <v>43634</v>
      </c>
    </row>
    <row r="322" spans="1:94" x14ac:dyDescent="0.25">
      <c r="A322" t="s">
        <v>1642</v>
      </c>
      <c r="B322" t="str">
        <f xml:space="preserve"> "" &amp; 840254041905</f>
        <v>840254041905</v>
      </c>
      <c r="C322" t="s">
        <v>1643</v>
      </c>
      <c r="D322" t="s">
        <v>1644</v>
      </c>
      <c r="E322" t="s">
        <v>364</v>
      </c>
      <c r="F322" t="s">
        <v>828</v>
      </c>
      <c r="G322">
        <v>1</v>
      </c>
      <c r="H322">
        <v>1</v>
      </c>
      <c r="I322" t="s">
        <v>99</v>
      </c>
      <c r="J322" s="4">
        <v>885</v>
      </c>
      <c r="K322" s="4">
        <v>2655</v>
      </c>
      <c r="O322" t="s">
        <v>100</v>
      </c>
      <c r="P322" s="4">
        <v>1859.95</v>
      </c>
      <c r="S322">
        <v>34.75</v>
      </c>
      <c r="U322">
        <v>51.5</v>
      </c>
      <c r="V322">
        <v>31.75</v>
      </c>
      <c r="W322">
        <v>71.45</v>
      </c>
      <c r="X322">
        <v>1</v>
      </c>
      <c r="Y322">
        <v>21.75</v>
      </c>
      <c r="Z322">
        <v>55</v>
      </c>
      <c r="AA322">
        <v>35</v>
      </c>
      <c r="AB322">
        <v>24.23</v>
      </c>
      <c r="AC322">
        <v>91.65</v>
      </c>
      <c r="AE322">
        <v>25</v>
      </c>
      <c r="AF322" t="s">
        <v>176</v>
      </c>
      <c r="AG322">
        <v>60</v>
      </c>
      <c r="AK322" t="s">
        <v>102</v>
      </c>
      <c r="AM322" t="s">
        <v>102</v>
      </c>
      <c r="AN322" t="s">
        <v>102</v>
      </c>
      <c r="AO322" t="s">
        <v>100</v>
      </c>
      <c r="AP322" t="s">
        <v>103</v>
      </c>
      <c r="AQ322" t="s">
        <v>104</v>
      </c>
      <c r="AV322" t="s">
        <v>102</v>
      </c>
      <c r="AX322" t="s">
        <v>366</v>
      </c>
      <c r="AZ322" t="s">
        <v>163</v>
      </c>
      <c r="BF322" t="s">
        <v>1645</v>
      </c>
      <c r="BG322" t="s">
        <v>102</v>
      </c>
      <c r="BH322" t="s">
        <v>102</v>
      </c>
      <c r="BI322" t="s">
        <v>102</v>
      </c>
      <c r="BK322" t="s">
        <v>107</v>
      </c>
      <c r="BR322">
        <v>3.75</v>
      </c>
      <c r="BT322">
        <v>5.75</v>
      </c>
      <c r="CA322" t="s">
        <v>1646</v>
      </c>
      <c r="CB322" t="s">
        <v>366</v>
      </c>
      <c r="CL322" t="s">
        <v>102</v>
      </c>
      <c r="CM322" t="s">
        <v>102</v>
      </c>
      <c r="CN322" t="s">
        <v>193</v>
      </c>
      <c r="CO322" s="1">
        <v>41292</v>
      </c>
      <c r="CP322" s="1">
        <v>43634</v>
      </c>
    </row>
    <row r="323" spans="1:94" x14ac:dyDescent="0.25">
      <c r="A323" t="s">
        <v>1647</v>
      </c>
      <c r="B323" t="str">
        <f xml:space="preserve"> "" &amp; 840254047310</f>
        <v>840254047310</v>
      </c>
      <c r="C323" t="s">
        <v>1648</v>
      </c>
      <c r="D323" t="s">
        <v>1649</v>
      </c>
      <c r="E323" t="s">
        <v>235</v>
      </c>
      <c r="F323" t="s">
        <v>710</v>
      </c>
      <c r="G323">
        <v>1</v>
      </c>
      <c r="H323">
        <v>1</v>
      </c>
      <c r="I323" t="s">
        <v>99</v>
      </c>
      <c r="J323" s="4">
        <v>595</v>
      </c>
      <c r="K323" s="4">
        <v>1785</v>
      </c>
      <c r="O323" t="s">
        <v>100</v>
      </c>
      <c r="P323" s="4">
        <v>1249.95</v>
      </c>
      <c r="S323">
        <v>13.5</v>
      </c>
      <c r="T323">
        <v>20</v>
      </c>
      <c r="U323">
        <v>20</v>
      </c>
      <c r="W323">
        <v>30.36</v>
      </c>
      <c r="X323">
        <v>1</v>
      </c>
      <c r="Y323">
        <v>10.5</v>
      </c>
      <c r="Z323">
        <v>24.25</v>
      </c>
      <c r="AA323">
        <v>24.25</v>
      </c>
      <c r="AB323">
        <v>3.573</v>
      </c>
      <c r="AC323">
        <v>35.47</v>
      </c>
      <c r="AE323">
        <v>4</v>
      </c>
      <c r="AF323" t="s">
        <v>236</v>
      </c>
      <c r="AG323">
        <v>10</v>
      </c>
      <c r="AH323">
        <v>2</v>
      </c>
      <c r="AI323" t="s">
        <v>236</v>
      </c>
      <c r="AJ323">
        <v>10</v>
      </c>
      <c r="AK323" t="s">
        <v>100</v>
      </c>
      <c r="AM323" t="s">
        <v>102</v>
      </c>
      <c r="AN323" t="s">
        <v>100</v>
      </c>
      <c r="AO323" t="s">
        <v>102</v>
      </c>
      <c r="AP323" t="s">
        <v>117</v>
      </c>
      <c r="AQ323" t="s">
        <v>104</v>
      </c>
      <c r="AV323" t="s">
        <v>102</v>
      </c>
      <c r="AX323" t="s">
        <v>168</v>
      </c>
      <c r="AZ323" t="s">
        <v>189</v>
      </c>
      <c r="BB323" t="s">
        <v>118</v>
      </c>
      <c r="BC323" t="s">
        <v>242</v>
      </c>
      <c r="BF323" t="s">
        <v>1650</v>
      </c>
      <c r="BG323" t="s">
        <v>102</v>
      </c>
      <c r="BH323" t="s">
        <v>102</v>
      </c>
      <c r="BI323" t="s">
        <v>102</v>
      </c>
      <c r="BK323" t="s">
        <v>191</v>
      </c>
      <c r="BR323">
        <v>1.25</v>
      </c>
      <c r="BS323">
        <v>5</v>
      </c>
      <c r="BT323">
        <v>5</v>
      </c>
      <c r="CA323" t="s">
        <v>1651</v>
      </c>
      <c r="CB323" t="s">
        <v>168</v>
      </c>
      <c r="CG323">
        <v>3000</v>
      </c>
      <c r="CH323">
        <v>90</v>
      </c>
      <c r="CI323">
        <v>2851</v>
      </c>
      <c r="CJ323">
        <v>957</v>
      </c>
      <c r="CK323">
        <v>30000</v>
      </c>
      <c r="CL323" t="s">
        <v>100</v>
      </c>
      <c r="CM323" t="s">
        <v>102</v>
      </c>
      <c r="CN323" t="s">
        <v>1652</v>
      </c>
      <c r="CO323" s="1">
        <v>42761</v>
      </c>
      <c r="CP323" s="1">
        <v>43634</v>
      </c>
    </row>
    <row r="324" spans="1:94" x14ac:dyDescent="0.25">
      <c r="A324" t="s">
        <v>1653</v>
      </c>
      <c r="B324" t="str">
        <f xml:space="preserve"> "" &amp; 840254047303</f>
        <v>840254047303</v>
      </c>
      <c r="C324" t="s">
        <v>1529</v>
      </c>
      <c r="D324" t="s">
        <v>1654</v>
      </c>
      <c r="E324" t="s">
        <v>235</v>
      </c>
      <c r="F324" t="s">
        <v>98</v>
      </c>
      <c r="G324">
        <v>1</v>
      </c>
      <c r="H324">
        <v>1</v>
      </c>
      <c r="I324" t="s">
        <v>99</v>
      </c>
      <c r="J324" s="4">
        <v>995</v>
      </c>
      <c r="K324" s="4">
        <v>2985</v>
      </c>
      <c r="O324" t="s">
        <v>100</v>
      </c>
      <c r="P324" s="4">
        <v>2089.9499999999998</v>
      </c>
      <c r="S324">
        <v>27.5</v>
      </c>
      <c r="T324">
        <v>26</v>
      </c>
      <c r="U324">
        <v>26</v>
      </c>
      <c r="W324">
        <v>43.92</v>
      </c>
      <c r="X324">
        <v>1</v>
      </c>
      <c r="Y324">
        <v>10.5</v>
      </c>
      <c r="Z324">
        <v>30.25</v>
      </c>
      <c r="AA324">
        <v>30.25</v>
      </c>
      <c r="AB324">
        <v>5.56</v>
      </c>
      <c r="AC324">
        <v>52.51</v>
      </c>
      <c r="AE324">
        <v>6</v>
      </c>
      <c r="AF324" t="s">
        <v>236</v>
      </c>
      <c r="AG324">
        <v>10</v>
      </c>
      <c r="AH324">
        <v>3</v>
      </c>
      <c r="AI324" t="s">
        <v>236</v>
      </c>
      <c r="AJ324">
        <v>10</v>
      </c>
      <c r="AK324" t="s">
        <v>100</v>
      </c>
      <c r="AM324" t="s">
        <v>102</v>
      </c>
      <c r="AN324" t="s">
        <v>100</v>
      </c>
      <c r="AO324" t="s">
        <v>102</v>
      </c>
      <c r="AP324" t="s">
        <v>117</v>
      </c>
      <c r="AQ324" t="s">
        <v>104</v>
      </c>
      <c r="AV324" t="s">
        <v>102</v>
      </c>
      <c r="AX324" t="s">
        <v>168</v>
      </c>
      <c r="AZ324" t="s">
        <v>189</v>
      </c>
      <c r="BB324" t="s">
        <v>118</v>
      </c>
      <c r="BC324" t="s">
        <v>237</v>
      </c>
      <c r="BF324" t="s">
        <v>1655</v>
      </c>
      <c r="BG324" t="s">
        <v>102</v>
      </c>
      <c r="BH324" t="s">
        <v>102</v>
      </c>
      <c r="BI324" t="s">
        <v>102</v>
      </c>
      <c r="BK324" t="s">
        <v>107</v>
      </c>
      <c r="BR324">
        <v>0.88</v>
      </c>
      <c r="BS324">
        <v>4.88</v>
      </c>
      <c r="BT324">
        <v>4.88</v>
      </c>
      <c r="CA324" t="s">
        <v>1656</v>
      </c>
      <c r="CB324" t="s">
        <v>168</v>
      </c>
      <c r="CG324">
        <v>3000</v>
      </c>
      <c r="CH324">
        <v>90</v>
      </c>
      <c r="CI324">
        <v>3916</v>
      </c>
      <c r="CJ324">
        <v>1194</v>
      </c>
      <c r="CK324">
        <v>30000</v>
      </c>
      <c r="CL324" t="s">
        <v>100</v>
      </c>
      <c r="CM324" t="s">
        <v>102</v>
      </c>
      <c r="CN324" t="s">
        <v>1652</v>
      </c>
      <c r="CO324" s="1">
        <v>42761</v>
      </c>
      <c r="CP324" s="1">
        <v>43634</v>
      </c>
    </row>
    <row r="325" spans="1:94" x14ac:dyDescent="0.25">
      <c r="A325" t="s">
        <v>1657</v>
      </c>
      <c r="B325" t="str">
        <f xml:space="preserve"> "" &amp; 840254047334</f>
        <v>840254047334</v>
      </c>
      <c r="C325" t="s">
        <v>1658</v>
      </c>
      <c r="D325" t="s">
        <v>1659</v>
      </c>
      <c r="E325" t="s">
        <v>235</v>
      </c>
      <c r="F325" t="s">
        <v>828</v>
      </c>
      <c r="G325">
        <v>1</v>
      </c>
      <c r="H325">
        <v>1</v>
      </c>
      <c r="I325" t="s">
        <v>99</v>
      </c>
      <c r="J325" s="4">
        <v>1195</v>
      </c>
      <c r="K325" s="4">
        <v>3585</v>
      </c>
      <c r="O325" t="s">
        <v>100</v>
      </c>
      <c r="P325" s="4">
        <v>2509.9499999999998</v>
      </c>
      <c r="S325">
        <v>17</v>
      </c>
      <c r="T325">
        <v>44</v>
      </c>
      <c r="U325">
        <v>15</v>
      </c>
      <c r="W325">
        <v>73.59</v>
      </c>
      <c r="X325">
        <v>1</v>
      </c>
      <c r="Y325">
        <v>10.5</v>
      </c>
      <c r="Z325">
        <v>49.5</v>
      </c>
      <c r="AA325">
        <v>19.25</v>
      </c>
      <c r="AB325">
        <v>5.79</v>
      </c>
      <c r="AC325">
        <v>81</v>
      </c>
      <c r="AE325">
        <v>8</v>
      </c>
      <c r="AF325" t="s">
        <v>1660</v>
      </c>
      <c r="AG325">
        <v>10</v>
      </c>
      <c r="AH325">
        <v>2</v>
      </c>
      <c r="AI325" t="s">
        <v>1661</v>
      </c>
      <c r="AJ325">
        <v>27</v>
      </c>
      <c r="AK325" t="s">
        <v>100</v>
      </c>
      <c r="AM325" t="s">
        <v>102</v>
      </c>
      <c r="AN325" t="s">
        <v>100</v>
      </c>
      <c r="AO325" t="s">
        <v>102</v>
      </c>
      <c r="AP325" t="s">
        <v>117</v>
      </c>
      <c r="AQ325" t="s">
        <v>104</v>
      </c>
      <c r="AV325" t="s">
        <v>102</v>
      </c>
      <c r="AX325" t="s">
        <v>168</v>
      </c>
      <c r="AZ325" t="s">
        <v>189</v>
      </c>
      <c r="BB325" t="s">
        <v>118</v>
      </c>
      <c r="BC325" t="s">
        <v>237</v>
      </c>
      <c r="BF325" t="s">
        <v>1662</v>
      </c>
      <c r="BG325" t="s">
        <v>102</v>
      </c>
      <c r="BH325" t="s">
        <v>102</v>
      </c>
      <c r="BI325" t="s">
        <v>102</v>
      </c>
      <c r="BK325" t="s">
        <v>107</v>
      </c>
      <c r="BR325">
        <v>0.75</v>
      </c>
      <c r="BS325">
        <v>8</v>
      </c>
      <c r="BT325">
        <v>4.5</v>
      </c>
      <c r="CA325" t="s">
        <v>1663</v>
      </c>
      <c r="CB325" t="s">
        <v>168</v>
      </c>
      <c r="CG325">
        <v>3000</v>
      </c>
      <c r="CH325">
        <v>91</v>
      </c>
      <c r="CI325">
        <v>6688</v>
      </c>
      <c r="CJ325">
        <v>2382</v>
      </c>
      <c r="CK325">
        <v>30000</v>
      </c>
      <c r="CL325" t="s">
        <v>100</v>
      </c>
      <c r="CM325" t="s">
        <v>102</v>
      </c>
      <c r="CN325" t="s">
        <v>240</v>
      </c>
      <c r="CO325" s="1">
        <v>42761</v>
      </c>
      <c r="CP325" s="1">
        <v>43634</v>
      </c>
    </row>
    <row r="326" spans="1:94" x14ac:dyDescent="0.25">
      <c r="A326" t="s">
        <v>1664</v>
      </c>
      <c r="B326" t="str">
        <f xml:space="preserve"> "" &amp; 840254047297</f>
        <v>840254047297</v>
      </c>
      <c r="C326" t="s">
        <v>1529</v>
      </c>
      <c r="D326" t="s">
        <v>1654</v>
      </c>
      <c r="E326" t="s">
        <v>235</v>
      </c>
      <c r="F326" t="s">
        <v>98</v>
      </c>
      <c r="G326">
        <v>1</v>
      </c>
      <c r="H326">
        <v>1</v>
      </c>
      <c r="I326" t="s">
        <v>99</v>
      </c>
      <c r="J326" s="4">
        <v>1195</v>
      </c>
      <c r="K326" s="4">
        <v>3585</v>
      </c>
      <c r="O326" t="s">
        <v>100</v>
      </c>
      <c r="P326" s="4">
        <v>2509.9499999999998</v>
      </c>
      <c r="S326">
        <v>32.5</v>
      </c>
      <c r="T326">
        <v>32.25</v>
      </c>
      <c r="U326">
        <v>32.25</v>
      </c>
      <c r="W326">
        <v>56.2</v>
      </c>
      <c r="X326">
        <v>1</v>
      </c>
      <c r="Y326">
        <v>10.5</v>
      </c>
      <c r="Z326">
        <v>36.375</v>
      </c>
      <c r="AA326">
        <v>36.375</v>
      </c>
      <c r="AB326">
        <v>8.0399999999999991</v>
      </c>
      <c r="AC326">
        <v>70.02</v>
      </c>
      <c r="AE326">
        <v>8</v>
      </c>
      <c r="AF326" t="s">
        <v>1665</v>
      </c>
      <c r="AG326">
        <v>10</v>
      </c>
      <c r="AH326">
        <v>4</v>
      </c>
      <c r="AI326" t="s">
        <v>1666</v>
      </c>
      <c r="AJ326">
        <v>10</v>
      </c>
      <c r="AK326" t="s">
        <v>100</v>
      </c>
      <c r="AM326" t="s">
        <v>102</v>
      </c>
      <c r="AN326" t="s">
        <v>100</v>
      </c>
      <c r="AO326" t="s">
        <v>102</v>
      </c>
      <c r="AP326" t="s">
        <v>103</v>
      </c>
      <c r="AQ326" t="s">
        <v>104</v>
      </c>
      <c r="AV326" t="s">
        <v>102</v>
      </c>
      <c r="AX326" t="s">
        <v>168</v>
      </c>
      <c r="AZ326" t="s">
        <v>189</v>
      </c>
      <c r="BB326" t="s">
        <v>118</v>
      </c>
      <c r="BC326" t="s">
        <v>237</v>
      </c>
      <c r="BF326" t="s">
        <v>1667</v>
      </c>
      <c r="BG326" t="s">
        <v>102</v>
      </c>
      <c r="BH326" t="s">
        <v>102</v>
      </c>
      <c r="BI326" t="s">
        <v>102</v>
      </c>
      <c r="BK326" t="s">
        <v>107</v>
      </c>
      <c r="BR326">
        <v>0.88</v>
      </c>
      <c r="BS326">
        <v>4.88</v>
      </c>
      <c r="BT326">
        <v>4.88</v>
      </c>
      <c r="CA326" t="s">
        <v>1668</v>
      </c>
      <c r="CB326" t="s">
        <v>168</v>
      </c>
      <c r="CG326">
        <v>3000</v>
      </c>
      <c r="CH326">
        <v>90</v>
      </c>
      <c r="CI326">
        <v>4550</v>
      </c>
      <c r="CJ326">
        <v>1561</v>
      </c>
      <c r="CK326">
        <v>30000</v>
      </c>
      <c r="CL326" t="s">
        <v>100</v>
      </c>
      <c r="CM326" t="s">
        <v>102</v>
      </c>
      <c r="CN326" t="s">
        <v>1652</v>
      </c>
      <c r="CO326" s="1">
        <v>42761</v>
      </c>
      <c r="CP326" s="1">
        <v>43634</v>
      </c>
    </row>
    <row r="327" spans="1:94" x14ac:dyDescent="0.25">
      <c r="A327" t="s">
        <v>1669</v>
      </c>
      <c r="B327" t="str">
        <f xml:space="preserve"> "" &amp; 840254047891</f>
        <v>840254047891</v>
      </c>
      <c r="C327" t="s">
        <v>1605</v>
      </c>
      <c r="D327" t="s">
        <v>1670</v>
      </c>
      <c r="E327" t="s">
        <v>1671</v>
      </c>
      <c r="F327" t="s">
        <v>371</v>
      </c>
      <c r="G327">
        <v>1</v>
      </c>
      <c r="H327">
        <v>1</v>
      </c>
      <c r="I327" t="s">
        <v>99</v>
      </c>
      <c r="J327" s="4">
        <v>595</v>
      </c>
      <c r="K327" s="4">
        <v>1785</v>
      </c>
      <c r="O327" t="s">
        <v>100</v>
      </c>
      <c r="P327" s="4">
        <v>1249.95</v>
      </c>
      <c r="S327">
        <v>21</v>
      </c>
      <c r="U327">
        <v>15.5</v>
      </c>
      <c r="W327">
        <v>27.16</v>
      </c>
      <c r="X327">
        <v>1</v>
      </c>
      <c r="Y327">
        <v>32.880000000000003</v>
      </c>
      <c r="Z327">
        <v>18.38</v>
      </c>
      <c r="AA327">
        <v>18.38</v>
      </c>
      <c r="AB327">
        <v>6.4279999999999999</v>
      </c>
      <c r="AC327">
        <v>32.5</v>
      </c>
      <c r="AE327">
        <v>4</v>
      </c>
      <c r="AF327" t="s">
        <v>1672</v>
      </c>
      <c r="AG327">
        <v>60</v>
      </c>
      <c r="AK327" t="s">
        <v>102</v>
      </c>
      <c r="AM327" t="s">
        <v>102</v>
      </c>
      <c r="AN327" t="s">
        <v>100</v>
      </c>
      <c r="AO327" t="s">
        <v>102</v>
      </c>
      <c r="AP327" t="s">
        <v>117</v>
      </c>
      <c r="AQ327" t="s">
        <v>104</v>
      </c>
      <c r="AV327" t="s">
        <v>102</v>
      </c>
      <c r="AX327" t="s">
        <v>168</v>
      </c>
      <c r="AZ327" t="s">
        <v>622</v>
      </c>
      <c r="BB327" t="s">
        <v>147</v>
      </c>
      <c r="BC327" t="s">
        <v>275</v>
      </c>
      <c r="BF327" t="s">
        <v>1673</v>
      </c>
      <c r="BG327" t="s">
        <v>102</v>
      </c>
      <c r="BH327" t="s">
        <v>102</v>
      </c>
      <c r="BI327" t="s">
        <v>102</v>
      </c>
      <c r="BK327" t="s">
        <v>107</v>
      </c>
      <c r="BR327">
        <v>1</v>
      </c>
      <c r="BS327">
        <v>5.13</v>
      </c>
      <c r="BT327">
        <v>5.13</v>
      </c>
      <c r="CA327" t="s">
        <v>1674</v>
      </c>
      <c r="CB327" t="s">
        <v>168</v>
      </c>
      <c r="CL327" t="s">
        <v>100</v>
      </c>
      <c r="CM327" t="s">
        <v>102</v>
      </c>
      <c r="CN327" t="s">
        <v>1512</v>
      </c>
      <c r="CO327" s="1">
        <v>42761</v>
      </c>
      <c r="CP327" s="1">
        <v>43634</v>
      </c>
    </row>
    <row r="328" spans="1:94" x14ac:dyDescent="0.25">
      <c r="A328" t="s">
        <v>1675</v>
      </c>
      <c r="B328" t="str">
        <f xml:space="preserve"> "" &amp; 840254047884</f>
        <v>840254047884</v>
      </c>
      <c r="C328" t="s">
        <v>1676</v>
      </c>
      <c r="D328" t="s">
        <v>1677</v>
      </c>
      <c r="E328" t="s">
        <v>1671</v>
      </c>
      <c r="F328" t="s">
        <v>710</v>
      </c>
      <c r="G328">
        <v>1</v>
      </c>
      <c r="H328">
        <v>1</v>
      </c>
      <c r="I328" t="s">
        <v>99</v>
      </c>
      <c r="J328" s="4">
        <v>995</v>
      </c>
      <c r="K328" s="4">
        <v>2985</v>
      </c>
      <c r="O328" t="s">
        <v>100</v>
      </c>
      <c r="P328" s="4">
        <v>2089.9499999999998</v>
      </c>
      <c r="S328">
        <v>13.25</v>
      </c>
      <c r="T328">
        <v>22</v>
      </c>
      <c r="U328">
        <v>22</v>
      </c>
      <c r="W328">
        <v>28.09</v>
      </c>
      <c r="X328">
        <v>1</v>
      </c>
      <c r="Y328">
        <v>20.88</v>
      </c>
      <c r="Z328">
        <v>26</v>
      </c>
      <c r="AA328">
        <v>26</v>
      </c>
      <c r="AB328">
        <v>8.1679999999999993</v>
      </c>
      <c r="AC328">
        <v>36.770000000000003</v>
      </c>
      <c r="AE328">
        <v>6</v>
      </c>
      <c r="AF328" t="s">
        <v>1678</v>
      </c>
      <c r="AG328">
        <v>60</v>
      </c>
      <c r="AK328" t="s">
        <v>102</v>
      </c>
      <c r="AM328" t="s">
        <v>102</v>
      </c>
      <c r="AN328" t="s">
        <v>100</v>
      </c>
      <c r="AO328" t="s">
        <v>102</v>
      </c>
      <c r="AP328" t="s">
        <v>117</v>
      </c>
      <c r="AQ328" t="s">
        <v>104</v>
      </c>
      <c r="AV328" t="s">
        <v>102</v>
      </c>
      <c r="AX328" t="s">
        <v>168</v>
      </c>
      <c r="AZ328" t="s">
        <v>622</v>
      </c>
      <c r="BB328" t="s">
        <v>267</v>
      </c>
      <c r="BC328" t="s">
        <v>275</v>
      </c>
      <c r="BF328" t="s">
        <v>1679</v>
      </c>
      <c r="BG328" t="s">
        <v>102</v>
      </c>
      <c r="BH328" t="s">
        <v>102</v>
      </c>
      <c r="BI328" t="s">
        <v>102</v>
      </c>
      <c r="BK328" t="s">
        <v>191</v>
      </c>
      <c r="BR328">
        <v>1</v>
      </c>
      <c r="BS328">
        <v>5.5</v>
      </c>
      <c r="BT328">
        <v>5.5</v>
      </c>
      <c r="CA328" t="s">
        <v>1680</v>
      </c>
      <c r="CB328" t="s">
        <v>168</v>
      </c>
      <c r="CL328" t="s">
        <v>100</v>
      </c>
      <c r="CM328" t="s">
        <v>102</v>
      </c>
      <c r="CN328" t="s">
        <v>1512</v>
      </c>
      <c r="CO328" s="1">
        <v>42761</v>
      </c>
      <c r="CP328" s="1">
        <v>43634</v>
      </c>
    </row>
    <row r="329" spans="1:94" x14ac:dyDescent="0.25">
      <c r="A329" t="s">
        <v>1681</v>
      </c>
      <c r="B329" t="str">
        <f xml:space="preserve"> "" &amp; 840254047877</f>
        <v>840254047877</v>
      </c>
      <c r="C329" t="s">
        <v>1682</v>
      </c>
      <c r="D329" t="s">
        <v>1683</v>
      </c>
      <c r="E329" t="s">
        <v>1671</v>
      </c>
      <c r="F329" t="s">
        <v>371</v>
      </c>
      <c r="G329">
        <v>1</v>
      </c>
      <c r="H329">
        <v>1</v>
      </c>
      <c r="I329" t="s">
        <v>99</v>
      </c>
      <c r="J329" s="4">
        <v>995</v>
      </c>
      <c r="K329" s="4">
        <v>2985</v>
      </c>
      <c r="O329" t="s">
        <v>100</v>
      </c>
      <c r="P329" s="4">
        <v>2089.9499999999998</v>
      </c>
      <c r="S329">
        <v>29.75</v>
      </c>
      <c r="T329">
        <v>19.5</v>
      </c>
      <c r="U329">
        <v>19.5</v>
      </c>
      <c r="W329">
        <v>50.86</v>
      </c>
      <c r="X329">
        <v>1</v>
      </c>
      <c r="Y329">
        <v>43</v>
      </c>
      <c r="Z329">
        <v>22</v>
      </c>
      <c r="AA329">
        <v>22</v>
      </c>
      <c r="AB329">
        <v>12.044</v>
      </c>
      <c r="AC329">
        <v>59.52</v>
      </c>
      <c r="AE329">
        <v>8</v>
      </c>
      <c r="AF329" t="s">
        <v>176</v>
      </c>
      <c r="AG329">
        <v>60</v>
      </c>
      <c r="AK329" t="s">
        <v>100</v>
      </c>
      <c r="AM329" t="s">
        <v>102</v>
      </c>
      <c r="AN329" t="s">
        <v>100</v>
      </c>
      <c r="AO329" t="s">
        <v>102</v>
      </c>
      <c r="AP329" t="s">
        <v>117</v>
      </c>
      <c r="AQ329" t="s">
        <v>104</v>
      </c>
      <c r="AV329" t="s">
        <v>102</v>
      </c>
      <c r="AX329" t="s">
        <v>168</v>
      </c>
      <c r="AZ329" t="s">
        <v>622</v>
      </c>
      <c r="BB329" t="s">
        <v>267</v>
      </c>
      <c r="BC329" t="s">
        <v>275</v>
      </c>
      <c r="BF329" t="s">
        <v>1684</v>
      </c>
      <c r="BG329" t="s">
        <v>102</v>
      </c>
      <c r="BH329" t="s">
        <v>102</v>
      </c>
      <c r="BI329" t="s">
        <v>102</v>
      </c>
      <c r="BK329" t="s">
        <v>107</v>
      </c>
      <c r="BR329">
        <v>1</v>
      </c>
      <c r="BS329">
        <v>5.13</v>
      </c>
      <c r="BT329">
        <v>5.13</v>
      </c>
      <c r="CA329" t="s">
        <v>1685</v>
      </c>
      <c r="CB329" t="s">
        <v>168</v>
      </c>
      <c r="CL329" t="s">
        <v>100</v>
      </c>
      <c r="CM329" t="s">
        <v>102</v>
      </c>
      <c r="CN329" t="s">
        <v>1512</v>
      </c>
      <c r="CO329" s="1">
        <v>42761</v>
      </c>
      <c r="CP329" s="1">
        <v>43634</v>
      </c>
    </row>
    <row r="330" spans="1:94" x14ac:dyDescent="0.25">
      <c r="A330" t="s">
        <v>1686</v>
      </c>
      <c r="B330" t="str">
        <f xml:space="preserve"> "" &amp; 840254047846</f>
        <v>840254047846</v>
      </c>
      <c r="C330" t="s">
        <v>1535</v>
      </c>
      <c r="D330" t="s">
        <v>1687</v>
      </c>
      <c r="E330" t="s">
        <v>1671</v>
      </c>
      <c r="F330" t="s">
        <v>98</v>
      </c>
      <c r="G330">
        <v>1</v>
      </c>
      <c r="H330">
        <v>1</v>
      </c>
      <c r="I330" t="s">
        <v>99</v>
      </c>
      <c r="J330" s="4">
        <v>1395</v>
      </c>
      <c r="K330" s="4">
        <v>4185</v>
      </c>
      <c r="O330" t="s">
        <v>100</v>
      </c>
      <c r="P330" s="4">
        <v>2929.95</v>
      </c>
      <c r="S330">
        <v>27.5</v>
      </c>
      <c r="T330">
        <v>29.5</v>
      </c>
      <c r="U330">
        <v>29.5</v>
      </c>
      <c r="W330">
        <v>51.96</v>
      </c>
      <c r="X330">
        <v>1</v>
      </c>
      <c r="Y330">
        <v>22.88</v>
      </c>
      <c r="Z330">
        <v>31.13</v>
      </c>
      <c r="AA330">
        <v>31.13</v>
      </c>
      <c r="AB330">
        <v>12.831</v>
      </c>
      <c r="AC330">
        <v>59.75</v>
      </c>
      <c r="AE330">
        <v>8</v>
      </c>
      <c r="AF330" t="s">
        <v>1688</v>
      </c>
      <c r="AG330">
        <v>60</v>
      </c>
      <c r="AK330" t="s">
        <v>102</v>
      </c>
      <c r="AM330" t="s">
        <v>102</v>
      </c>
      <c r="AN330" t="s">
        <v>100</v>
      </c>
      <c r="AO330" t="s">
        <v>102</v>
      </c>
      <c r="AP330" t="s">
        <v>117</v>
      </c>
      <c r="AQ330" t="s">
        <v>104</v>
      </c>
      <c r="AV330" t="s">
        <v>102</v>
      </c>
      <c r="AX330" t="s">
        <v>168</v>
      </c>
      <c r="AZ330" t="s">
        <v>622</v>
      </c>
      <c r="BB330" t="s">
        <v>267</v>
      </c>
      <c r="BC330" t="s">
        <v>275</v>
      </c>
      <c r="BF330" t="s">
        <v>1689</v>
      </c>
      <c r="BG330" t="s">
        <v>102</v>
      </c>
      <c r="BH330" t="s">
        <v>102</v>
      </c>
      <c r="BI330" t="s">
        <v>102</v>
      </c>
      <c r="BK330" t="s">
        <v>107</v>
      </c>
      <c r="BR330">
        <v>1</v>
      </c>
      <c r="BS330">
        <v>5.13</v>
      </c>
      <c r="BT330">
        <v>5.13</v>
      </c>
      <c r="CA330" t="s">
        <v>1690</v>
      </c>
      <c r="CB330" t="s">
        <v>168</v>
      </c>
      <c r="CL330" t="s">
        <v>100</v>
      </c>
      <c r="CM330" t="s">
        <v>102</v>
      </c>
      <c r="CN330" t="s">
        <v>1691</v>
      </c>
      <c r="CO330" s="1">
        <v>42761</v>
      </c>
      <c r="CP330" s="1">
        <v>43634</v>
      </c>
    </row>
    <row r="331" spans="1:94" x14ac:dyDescent="0.25">
      <c r="A331" t="s">
        <v>1692</v>
      </c>
      <c r="B331" t="str">
        <f xml:space="preserve"> "" &amp; 840254047860</f>
        <v>840254047860</v>
      </c>
      <c r="C331" t="s">
        <v>1535</v>
      </c>
      <c r="D331" t="s">
        <v>1693</v>
      </c>
      <c r="E331" t="s">
        <v>1671</v>
      </c>
      <c r="F331" t="s">
        <v>98</v>
      </c>
      <c r="G331">
        <v>1</v>
      </c>
      <c r="H331">
        <v>1</v>
      </c>
      <c r="I331" t="s">
        <v>99</v>
      </c>
      <c r="J331" s="4">
        <v>2595</v>
      </c>
      <c r="K331" s="4">
        <v>7785</v>
      </c>
      <c r="O331" t="s">
        <v>100</v>
      </c>
      <c r="P331" s="4">
        <v>5449.95</v>
      </c>
      <c r="S331">
        <v>39.5</v>
      </c>
      <c r="U331">
        <v>39</v>
      </c>
      <c r="W331">
        <v>60.36</v>
      </c>
      <c r="X331">
        <v>1</v>
      </c>
      <c r="Y331">
        <v>28.74</v>
      </c>
      <c r="Z331">
        <v>43.3</v>
      </c>
      <c r="AA331">
        <v>43.3</v>
      </c>
      <c r="AB331">
        <v>31.183</v>
      </c>
      <c r="AC331">
        <v>78.73</v>
      </c>
      <c r="AE331">
        <v>12</v>
      </c>
      <c r="AF331" t="s">
        <v>1688</v>
      </c>
      <c r="AG331">
        <v>60</v>
      </c>
      <c r="AK331" t="s">
        <v>102</v>
      </c>
      <c r="AM331" t="s">
        <v>102</v>
      </c>
      <c r="AN331" t="s">
        <v>100</v>
      </c>
      <c r="AO331" t="s">
        <v>102</v>
      </c>
      <c r="AP331" t="s">
        <v>117</v>
      </c>
      <c r="AQ331" t="s">
        <v>104</v>
      </c>
      <c r="AV331" t="s">
        <v>102</v>
      </c>
      <c r="AX331" t="s">
        <v>168</v>
      </c>
      <c r="AZ331" t="s">
        <v>622</v>
      </c>
      <c r="BB331" t="s">
        <v>267</v>
      </c>
      <c r="BC331" t="s">
        <v>275</v>
      </c>
      <c r="BF331" t="s">
        <v>1694</v>
      </c>
      <c r="BG331" t="s">
        <v>102</v>
      </c>
      <c r="BH331" t="s">
        <v>102</v>
      </c>
      <c r="BI331" t="s">
        <v>102</v>
      </c>
      <c r="BK331" t="s">
        <v>107</v>
      </c>
      <c r="BR331">
        <v>1</v>
      </c>
      <c r="BS331">
        <v>5.13</v>
      </c>
      <c r="BT331">
        <v>5.13</v>
      </c>
      <c r="CA331" t="s">
        <v>1695</v>
      </c>
      <c r="CB331" t="s">
        <v>168</v>
      </c>
      <c r="CL331" t="s">
        <v>100</v>
      </c>
      <c r="CM331" t="s">
        <v>102</v>
      </c>
      <c r="CN331" t="s">
        <v>1696</v>
      </c>
      <c r="CO331" s="1">
        <v>42761</v>
      </c>
      <c r="CP331" s="1">
        <v>43634</v>
      </c>
    </row>
    <row r="332" spans="1:94" x14ac:dyDescent="0.25">
      <c r="A332" t="s">
        <v>1697</v>
      </c>
      <c r="B332" t="str">
        <f xml:space="preserve"> "" &amp; 840254044197</f>
        <v>840254044197</v>
      </c>
      <c r="C332" t="s">
        <v>930</v>
      </c>
      <c r="D332" t="s">
        <v>1698</v>
      </c>
      <c r="E332" t="s">
        <v>551</v>
      </c>
      <c r="F332" t="s">
        <v>179</v>
      </c>
      <c r="G332">
        <v>1</v>
      </c>
      <c r="H332">
        <v>1</v>
      </c>
      <c r="I332" t="s">
        <v>99</v>
      </c>
      <c r="J332" s="4">
        <v>150</v>
      </c>
      <c r="K332" s="4">
        <v>450</v>
      </c>
      <c r="S332">
        <v>16</v>
      </c>
      <c r="U332">
        <v>8.5</v>
      </c>
      <c r="V332">
        <v>5</v>
      </c>
      <c r="W332">
        <v>5.53</v>
      </c>
      <c r="X332">
        <v>1</v>
      </c>
      <c r="Y332">
        <v>9.25</v>
      </c>
      <c r="Z332">
        <v>18</v>
      </c>
      <c r="AA332">
        <v>12.25</v>
      </c>
      <c r="AB332">
        <v>1.18</v>
      </c>
      <c r="AC332">
        <v>7.76</v>
      </c>
      <c r="AE332">
        <v>4</v>
      </c>
      <c r="AF332" t="s">
        <v>1699</v>
      </c>
      <c r="AG332">
        <v>40</v>
      </c>
      <c r="AK332" t="s">
        <v>100</v>
      </c>
      <c r="AM332" t="s">
        <v>102</v>
      </c>
      <c r="AN332" t="s">
        <v>102</v>
      </c>
      <c r="AO332" t="s">
        <v>100</v>
      </c>
      <c r="AP332" t="s">
        <v>117</v>
      </c>
      <c r="AQ332" t="s">
        <v>104</v>
      </c>
      <c r="AV332" t="s">
        <v>102</v>
      </c>
      <c r="AX332" t="s">
        <v>553</v>
      </c>
      <c r="AZ332" t="s">
        <v>163</v>
      </c>
      <c r="BF332" t="s">
        <v>1700</v>
      </c>
      <c r="BG332" t="s">
        <v>102</v>
      </c>
      <c r="BH332" t="s">
        <v>102</v>
      </c>
      <c r="BI332" t="s">
        <v>102</v>
      </c>
      <c r="BK332" t="s">
        <v>191</v>
      </c>
      <c r="BR332">
        <v>14.38</v>
      </c>
      <c r="BT332">
        <v>5</v>
      </c>
      <c r="CA332" t="s">
        <v>1701</v>
      </c>
      <c r="CB332" t="s">
        <v>553</v>
      </c>
      <c r="CL332" t="s">
        <v>102</v>
      </c>
      <c r="CM332" t="s">
        <v>102</v>
      </c>
      <c r="CN332" t="s">
        <v>272</v>
      </c>
      <c r="CO332" s="1">
        <v>42095</v>
      </c>
      <c r="CP332" s="1">
        <v>43634</v>
      </c>
    </row>
    <row r="333" spans="1:94" x14ac:dyDescent="0.25">
      <c r="A333" t="s">
        <v>1702</v>
      </c>
      <c r="B333" t="str">
        <f xml:space="preserve"> "" &amp; 840254044203</f>
        <v>840254044203</v>
      </c>
      <c r="C333" t="s">
        <v>1703</v>
      </c>
      <c r="D333" t="s">
        <v>1704</v>
      </c>
      <c r="E333" t="s">
        <v>551</v>
      </c>
      <c r="F333" t="s">
        <v>710</v>
      </c>
      <c r="G333">
        <v>1</v>
      </c>
      <c r="H333">
        <v>1</v>
      </c>
      <c r="I333" t="s">
        <v>99</v>
      </c>
      <c r="J333" s="4">
        <v>250</v>
      </c>
      <c r="K333" s="4">
        <v>750</v>
      </c>
      <c r="S333">
        <v>14</v>
      </c>
      <c r="T333">
        <v>18</v>
      </c>
      <c r="U333">
        <v>18</v>
      </c>
      <c r="W333">
        <v>11.46</v>
      </c>
      <c r="X333">
        <v>1</v>
      </c>
      <c r="Y333">
        <v>21.75</v>
      </c>
      <c r="Z333">
        <v>21.75</v>
      </c>
      <c r="AA333">
        <v>15</v>
      </c>
      <c r="AB333">
        <v>4.1059999999999999</v>
      </c>
      <c r="AC333">
        <v>15.67</v>
      </c>
      <c r="AE333">
        <v>4</v>
      </c>
      <c r="AF333" t="s">
        <v>1699</v>
      </c>
      <c r="AG333">
        <v>40</v>
      </c>
      <c r="AK333" t="s">
        <v>100</v>
      </c>
      <c r="AM333" t="s">
        <v>102</v>
      </c>
      <c r="AN333" t="s">
        <v>102</v>
      </c>
      <c r="AO333" t="s">
        <v>100</v>
      </c>
      <c r="AP333" t="s">
        <v>117</v>
      </c>
      <c r="AQ333" t="s">
        <v>104</v>
      </c>
      <c r="AV333" t="s">
        <v>102</v>
      </c>
      <c r="AX333" t="s">
        <v>553</v>
      </c>
      <c r="AZ333" t="s">
        <v>163</v>
      </c>
      <c r="BF333" t="s">
        <v>1705</v>
      </c>
      <c r="BG333" t="s">
        <v>102</v>
      </c>
      <c r="BH333" t="s">
        <v>102</v>
      </c>
      <c r="BI333" t="s">
        <v>102</v>
      </c>
      <c r="BK333" t="s">
        <v>191</v>
      </c>
      <c r="BR333">
        <v>1.1299999999999999</v>
      </c>
      <c r="BT333">
        <v>5.75</v>
      </c>
      <c r="CA333" t="s">
        <v>1706</v>
      </c>
      <c r="CB333" t="s">
        <v>553</v>
      </c>
      <c r="CL333" t="s">
        <v>102</v>
      </c>
      <c r="CM333" t="s">
        <v>102</v>
      </c>
      <c r="CN333" t="s">
        <v>272</v>
      </c>
      <c r="CO333" s="1">
        <v>42095</v>
      </c>
      <c r="CP333" s="1">
        <v>43634</v>
      </c>
    </row>
    <row r="334" spans="1:94" x14ac:dyDescent="0.25">
      <c r="A334" t="s">
        <v>1707</v>
      </c>
      <c r="B334" t="str">
        <f xml:space="preserve"> "" &amp; 840254044180</f>
        <v>840254044180</v>
      </c>
      <c r="C334" t="s">
        <v>1183</v>
      </c>
      <c r="D334" t="s">
        <v>1708</v>
      </c>
      <c r="E334" t="s">
        <v>551</v>
      </c>
      <c r="F334" t="s">
        <v>371</v>
      </c>
      <c r="G334">
        <v>1</v>
      </c>
      <c r="H334">
        <v>1</v>
      </c>
      <c r="I334" t="s">
        <v>99</v>
      </c>
      <c r="J334" s="4">
        <v>325</v>
      </c>
      <c r="K334" s="4">
        <v>975</v>
      </c>
      <c r="S334">
        <v>26.5</v>
      </c>
      <c r="T334">
        <v>18</v>
      </c>
      <c r="U334">
        <v>18</v>
      </c>
      <c r="W334">
        <v>18.3</v>
      </c>
      <c r="X334">
        <v>1</v>
      </c>
      <c r="Y334">
        <v>21</v>
      </c>
      <c r="Z334">
        <v>21.75</v>
      </c>
      <c r="AA334">
        <v>21.75</v>
      </c>
      <c r="AB334">
        <v>5.7489999999999997</v>
      </c>
      <c r="AC334">
        <v>24.85</v>
      </c>
      <c r="AE334">
        <v>7</v>
      </c>
      <c r="AF334" t="s">
        <v>1699</v>
      </c>
      <c r="AG334">
        <v>40</v>
      </c>
      <c r="AK334" t="s">
        <v>100</v>
      </c>
      <c r="AM334" t="s">
        <v>102</v>
      </c>
      <c r="AN334" t="s">
        <v>102</v>
      </c>
      <c r="AO334" t="s">
        <v>100</v>
      </c>
      <c r="AP334" t="s">
        <v>103</v>
      </c>
      <c r="AQ334" t="s">
        <v>104</v>
      </c>
      <c r="AV334" t="s">
        <v>102</v>
      </c>
      <c r="AX334" t="s">
        <v>553</v>
      </c>
      <c r="AZ334" t="s">
        <v>163</v>
      </c>
      <c r="BF334" t="s">
        <v>1709</v>
      </c>
      <c r="BG334" t="s">
        <v>102</v>
      </c>
      <c r="BH334" t="s">
        <v>102</v>
      </c>
      <c r="BI334" t="s">
        <v>102</v>
      </c>
      <c r="BK334" t="s">
        <v>107</v>
      </c>
      <c r="BR334">
        <v>1</v>
      </c>
      <c r="BT334">
        <v>5.13</v>
      </c>
      <c r="CA334" t="s">
        <v>1710</v>
      </c>
      <c r="CB334" t="s">
        <v>553</v>
      </c>
      <c r="CL334" t="s">
        <v>102</v>
      </c>
      <c r="CM334" t="s">
        <v>102</v>
      </c>
      <c r="CN334" t="s">
        <v>272</v>
      </c>
      <c r="CO334" s="1">
        <v>42095</v>
      </c>
      <c r="CP334" s="1">
        <v>43634</v>
      </c>
    </row>
    <row r="335" spans="1:94" x14ac:dyDescent="0.25">
      <c r="A335" t="s">
        <v>1711</v>
      </c>
      <c r="B335" t="str">
        <f xml:space="preserve"> "" &amp; 840254044166</f>
        <v>840254044166</v>
      </c>
      <c r="C335" t="s">
        <v>1130</v>
      </c>
      <c r="D335" t="s">
        <v>1712</v>
      </c>
      <c r="E335" t="s">
        <v>551</v>
      </c>
      <c r="F335" t="s">
        <v>371</v>
      </c>
      <c r="G335">
        <v>1</v>
      </c>
      <c r="H335">
        <v>1</v>
      </c>
      <c r="I335" t="s">
        <v>99</v>
      </c>
      <c r="J335" s="4">
        <v>495</v>
      </c>
      <c r="K335" s="4">
        <v>1485</v>
      </c>
      <c r="S335">
        <v>26</v>
      </c>
      <c r="T335">
        <v>24</v>
      </c>
      <c r="U335">
        <v>24</v>
      </c>
      <c r="W335">
        <v>17.97</v>
      </c>
      <c r="X335">
        <v>1</v>
      </c>
      <c r="Y335">
        <v>19.88</v>
      </c>
      <c r="Z335">
        <v>27.5</v>
      </c>
      <c r="AA335">
        <v>27.5</v>
      </c>
      <c r="AB335">
        <v>8.6999999999999993</v>
      </c>
      <c r="AC335">
        <v>28.86</v>
      </c>
      <c r="AE335">
        <v>10</v>
      </c>
      <c r="AF335" t="s">
        <v>1699</v>
      </c>
      <c r="AG335">
        <v>40</v>
      </c>
      <c r="AK335" t="s">
        <v>100</v>
      </c>
      <c r="AM335" t="s">
        <v>102</v>
      </c>
      <c r="AN335" t="s">
        <v>102</v>
      </c>
      <c r="AO335" t="s">
        <v>100</v>
      </c>
      <c r="AP335" t="s">
        <v>103</v>
      </c>
      <c r="AQ335" t="s">
        <v>104</v>
      </c>
      <c r="AV335" t="s">
        <v>102</v>
      </c>
      <c r="AX335" t="s">
        <v>553</v>
      </c>
      <c r="AZ335" t="s">
        <v>163</v>
      </c>
      <c r="BF335" t="s">
        <v>1713</v>
      </c>
      <c r="BG335" t="s">
        <v>102</v>
      </c>
      <c r="BH335" t="s">
        <v>102</v>
      </c>
      <c r="BI335" t="s">
        <v>102</v>
      </c>
      <c r="BK335" t="s">
        <v>107</v>
      </c>
      <c r="BR335">
        <v>1</v>
      </c>
      <c r="BT335">
        <v>5.13</v>
      </c>
      <c r="CA335" t="s">
        <v>1714</v>
      </c>
      <c r="CB335" t="s">
        <v>553</v>
      </c>
      <c r="CL335" t="s">
        <v>102</v>
      </c>
      <c r="CM335" t="s">
        <v>102</v>
      </c>
      <c r="CN335" t="s">
        <v>272</v>
      </c>
      <c r="CO335" s="1">
        <v>42095</v>
      </c>
      <c r="CP335" s="1">
        <v>43634</v>
      </c>
    </row>
    <row r="336" spans="1:94" x14ac:dyDescent="0.25">
      <c r="A336" t="s">
        <v>1715</v>
      </c>
      <c r="B336" t="str">
        <f xml:space="preserve"> "" &amp; 840254044173</f>
        <v>840254044173</v>
      </c>
      <c r="C336" t="s">
        <v>846</v>
      </c>
      <c r="D336" t="s">
        <v>1716</v>
      </c>
      <c r="E336" t="s">
        <v>551</v>
      </c>
      <c r="F336" t="s">
        <v>371</v>
      </c>
      <c r="G336">
        <v>1</v>
      </c>
      <c r="H336">
        <v>1</v>
      </c>
      <c r="I336" t="s">
        <v>99</v>
      </c>
      <c r="J336" s="4">
        <v>645</v>
      </c>
      <c r="K336" s="4">
        <v>1935</v>
      </c>
      <c r="S336">
        <v>31.75</v>
      </c>
      <c r="T336">
        <v>28</v>
      </c>
      <c r="U336">
        <v>28</v>
      </c>
      <c r="W336">
        <v>27.56</v>
      </c>
      <c r="X336">
        <v>1</v>
      </c>
      <c r="Y336">
        <v>27</v>
      </c>
      <c r="Z336">
        <v>32</v>
      </c>
      <c r="AA336">
        <v>32</v>
      </c>
      <c r="AB336">
        <v>16</v>
      </c>
      <c r="AC336">
        <v>43.3</v>
      </c>
      <c r="AE336">
        <v>16</v>
      </c>
      <c r="AF336" t="s">
        <v>1699</v>
      </c>
      <c r="AG336">
        <v>40</v>
      </c>
      <c r="AK336" t="s">
        <v>100</v>
      </c>
      <c r="AM336" t="s">
        <v>102</v>
      </c>
      <c r="AN336" t="s">
        <v>102</v>
      </c>
      <c r="AO336" t="s">
        <v>100</v>
      </c>
      <c r="AP336" t="s">
        <v>103</v>
      </c>
      <c r="AQ336" t="s">
        <v>104</v>
      </c>
      <c r="AV336" t="s">
        <v>102</v>
      </c>
      <c r="AX336" t="s">
        <v>553</v>
      </c>
      <c r="AZ336" t="s">
        <v>163</v>
      </c>
      <c r="BF336" t="s">
        <v>1717</v>
      </c>
      <c r="BG336" t="s">
        <v>102</v>
      </c>
      <c r="BH336" t="s">
        <v>102</v>
      </c>
      <c r="BI336" t="s">
        <v>102</v>
      </c>
      <c r="BK336" t="s">
        <v>107</v>
      </c>
      <c r="BR336">
        <v>1</v>
      </c>
      <c r="BT336">
        <v>5.13</v>
      </c>
      <c r="CA336" t="s">
        <v>1718</v>
      </c>
      <c r="CB336" t="s">
        <v>553</v>
      </c>
      <c r="CL336" t="s">
        <v>102</v>
      </c>
      <c r="CM336" t="s">
        <v>102</v>
      </c>
      <c r="CN336" t="s">
        <v>272</v>
      </c>
      <c r="CO336" s="1">
        <v>42095</v>
      </c>
      <c r="CP336" s="1">
        <v>43634</v>
      </c>
    </row>
    <row r="337" spans="1:94" x14ac:dyDescent="0.25">
      <c r="A337" t="s">
        <v>1720</v>
      </c>
      <c r="B337" t="str">
        <f xml:space="preserve"> "" &amp; 840254047730</f>
        <v>840254047730</v>
      </c>
      <c r="C337" t="s">
        <v>1721</v>
      </c>
      <c r="D337" t="s">
        <v>1722</v>
      </c>
      <c r="E337" t="s">
        <v>1723</v>
      </c>
      <c r="F337" t="s">
        <v>179</v>
      </c>
      <c r="G337">
        <v>1</v>
      </c>
      <c r="H337">
        <v>1</v>
      </c>
      <c r="I337" t="s">
        <v>99</v>
      </c>
      <c r="J337" s="4">
        <v>175</v>
      </c>
      <c r="K337" s="4">
        <v>525</v>
      </c>
      <c r="O337" t="s">
        <v>100</v>
      </c>
      <c r="P337" s="4">
        <v>369.95</v>
      </c>
      <c r="S337">
        <v>22.75</v>
      </c>
      <c r="T337">
        <v>10.5</v>
      </c>
      <c r="V337">
        <v>3.5</v>
      </c>
      <c r="W337">
        <v>8.5299999999999994</v>
      </c>
      <c r="X337">
        <v>1</v>
      </c>
      <c r="Y337">
        <v>6.5</v>
      </c>
      <c r="Z337">
        <v>25.75</v>
      </c>
      <c r="AA337">
        <v>13.5</v>
      </c>
      <c r="AB337">
        <v>1.3080000000000001</v>
      </c>
      <c r="AC337">
        <v>11.16</v>
      </c>
      <c r="AE337">
        <v>1</v>
      </c>
      <c r="AF337" t="s">
        <v>236</v>
      </c>
      <c r="AG337">
        <v>16</v>
      </c>
      <c r="AK337" t="s">
        <v>100</v>
      </c>
      <c r="AM337" t="s">
        <v>102</v>
      </c>
      <c r="AN337" t="s">
        <v>100</v>
      </c>
      <c r="AO337" t="s">
        <v>102</v>
      </c>
      <c r="AP337" t="s">
        <v>117</v>
      </c>
      <c r="AQ337" t="s">
        <v>104</v>
      </c>
      <c r="AV337" t="s">
        <v>102</v>
      </c>
      <c r="AX337" t="s">
        <v>266</v>
      </c>
      <c r="AZ337" t="s">
        <v>622</v>
      </c>
      <c r="BB337" t="s">
        <v>1724</v>
      </c>
      <c r="BC337" t="s">
        <v>443</v>
      </c>
      <c r="BF337" t="s">
        <v>1725</v>
      </c>
      <c r="BG337" t="s">
        <v>102</v>
      </c>
      <c r="BH337" t="s">
        <v>100</v>
      </c>
      <c r="BI337" t="s">
        <v>102</v>
      </c>
      <c r="BK337" t="s">
        <v>191</v>
      </c>
      <c r="BL337" t="s">
        <v>214</v>
      </c>
      <c r="BM337">
        <v>9.75</v>
      </c>
      <c r="BN337">
        <v>5</v>
      </c>
      <c r="CA337" t="s">
        <v>1726</v>
      </c>
      <c r="CB337" t="s">
        <v>266</v>
      </c>
      <c r="CG337">
        <v>3000</v>
      </c>
      <c r="CH337">
        <v>92</v>
      </c>
      <c r="CI337">
        <v>1426</v>
      </c>
      <c r="CJ337">
        <v>750</v>
      </c>
      <c r="CK337">
        <v>30000</v>
      </c>
      <c r="CL337" t="s">
        <v>100</v>
      </c>
      <c r="CM337" t="s">
        <v>102</v>
      </c>
      <c r="CN337" t="s">
        <v>240</v>
      </c>
      <c r="CO337" s="1">
        <v>42762</v>
      </c>
      <c r="CP337" s="1">
        <v>43634</v>
      </c>
    </row>
    <row r="338" spans="1:94" x14ac:dyDescent="0.25">
      <c r="A338" t="s">
        <v>1727</v>
      </c>
      <c r="B338" t="str">
        <f xml:space="preserve"> "" &amp; 840254047754</f>
        <v>840254047754</v>
      </c>
      <c r="C338" t="s">
        <v>1529</v>
      </c>
      <c r="D338" t="s">
        <v>1728</v>
      </c>
      <c r="E338" t="s">
        <v>1723</v>
      </c>
      <c r="F338" t="s">
        <v>98</v>
      </c>
      <c r="G338">
        <v>1</v>
      </c>
      <c r="H338">
        <v>1</v>
      </c>
      <c r="I338" t="s">
        <v>99</v>
      </c>
      <c r="J338" s="4">
        <v>395</v>
      </c>
      <c r="K338" s="4">
        <v>1185</v>
      </c>
      <c r="O338" t="s">
        <v>100</v>
      </c>
      <c r="P338" s="4">
        <v>829.95</v>
      </c>
      <c r="S338">
        <v>16</v>
      </c>
      <c r="T338">
        <v>24</v>
      </c>
      <c r="U338">
        <v>24</v>
      </c>
      <c r="W338">
        <v>26.1</v>
      </c>
      <c r="X338">
        <v>1</v>
      </c>
      <c r="Y338">
        <v>16.25</v>
      </c>
      <c r="Z338">
        <v>27</v>
      </c>
      <c r="AA338">
        <v>27</v>
      </c>
      <c r="AB338">
        <v>6.8550000000000004</v>
      </c>
      <c r="AC338">
        <v>34.08</v>
      </c>
      <c r="AE338">
        <v>1</v>
      </c>
      <c r="AF338" t="s">
        <v>236</v>
      </c>
      <c r="AG338">
        <v>52</v>
      </c>
      <c r="AH338">
        <v>1</v>
      </c>
      <c r="AI338" t="s">
        <v>1661</v>
      </c>
      <c r="AJ338">
        <v>27</v>
      </c>
      <c r="AK338" t="s">
        <v>100</v>
      </c>
      <c r="AM338" t="s">
        <v>102</v>
      </c>
      <c r="AN338" t="s">
        <v>100</v>
      </c>
      <c r="AO338" t="s">
        <v>102</v>
      </c>
      <c r="AP338" t="s">
        <v>117</v>
      </c>
      <c r="AQ338" t="s">
        <v>104</v>
      </c>
      <c r="AV338" t="s">
        <v>102</v>
      </c>
      <c r="AX338" t="s">
        <v>266</v>
      </c>
      <c r="AZ338" t="s">
        <v>622</v>
      </c>
      <c r="BB338" t="s">
        <v>1729</v>
      </c>
      <c r="BC338" t="s">
        <v>443</v>
      </c>
      <c r="BF338" t="s">
        <v>1730</v>
      </c>
      <c r="BG338" t="s">
        <v>102</v>
      </c>
      <c r="BH338" t="s">
        <v>102</v>
      </c>
      <c r="BI338" t="s">
        <v>102</v>
      </c>
      <c r="BK338" t="s">
        <v>107</v>
      </c>
      <c r="BR338">
        <v>0.94</v>
      </c>
      <c r="BS338">
        <v>5</v>
      </c>
      <c r="BT338">
        <v>5</v>
      </c>
      <c r="CA338" t="s">
        <v>1731</v>
      </c>
      <c r="CB338" t="s">
        <v>266</v>
      </c>
      <c r="CG338">
        <v>3000</v>
      </c>
      <c r="CH338">
        <v>93</v>
      </c>
      <c r="CI338">
        <v>6028</v>
      </c>
      <c r="CJ338">
        <v>4224</v>
      </c>
      <c r="CK338">
        <v>30000</v>
      </c>
      <c r="CL338" t="s">
        <v>100</v>
      </c>
      <c r="CM338" t="s">
        <v>102</v>
      </c>
      <c r="CN338" t="s">
        <v>240</v>
      </c>
      <c r="CO338" s="1">
        <v>42762</v>
      </c>
      <c r="CP338" s="1">
        <v>43634</v>
      </c>
    </row>
    <row r="339" spans="1:94" x14ac:dyDescent="0.25">
      <c r="A339" t="s">
        <v>1732</v>
      </c>
      <c r="B339" t="str">
        <f xml:space="preserve"> "" &amp; 840254047747</f>
        <v>840254047747</v>
      </c>
      <c r="C339" t="s">
        <v>1658</v>
      </c>
      <c r="D339" t="s">
        <v>1733</v>
      </c>
      <c r="E339" t="s">
        <v>1723</v>
      </c>
      <c r="F339" t="s">
        <v>828</v>
      </c>
      <c r="G339">
        <v>1</v>
      </c>
      <c r="H339">
        <v>1</v>
      </c>
      <c r="I339" t="s">
        <v>99</v>
      </c>
      <c r="J339" s="4">
        <v>695</v>
      </c>
      <c r="K339" s="4">
        <v>2085</v>
      </c>
      <c r="O339" t="s">
        <v>100</v>
      </c>
      <c r="P339" s="4">
        <v>1459.95</v>
      </c>
      <c r="S339">
        <v>16.25</v>
      </c>
      <c r="T339">
        <v>40</v>
      </c>
      <c r="U339">
        <v>12</v>
      </c>
      <c r="W339">
        <v>39.31</v>
      </c>
      <c r="X339">
        <v>1</v>
      </c>
      <c r="Y339">
        <v>19.5</v>
      </c>
      <c r="Z339">
        <v>45</v>
      </c>
      <c r="AA339">
        <v>15.5</v>
      </c>
      <c r="AB339">
        <v>7.8710000000000004</v>
      </c>
      <c r="AC339">
        <v>48.99</v>
      </c>
      <c r="AE339">
        <v>1</v>
      </c>
      <c r="AF339" t="s">
        <v>236</v>
      </c>
      <c r="AG339">
        <v>56</v>
      </c>
      <c r="AH339">
        <v>1</v>
      </c>
      <c r="AI339" t="s">
        <v>1734</v>
      </c>
      <c r="AJ339">
        <v>38</v>
      </c>
      <c r="AK339" t="s">
        <v>100</v>
      </c>
      <c r="AM339" t="s">
        <v>102</v>
      </c>
      <c r="AN339" t="s">
        <v>100</v>
      </c>
      <c r="AO339" t="s">
        <v>102</v>
      </c>
      <c r="AP339" t="s">
        <v>117</v>
      </c>
      <c r="AQ339" t="s">
        <v>104</v>
      </c>
      <c r="AV339" t="s">
        <v>102</v>
      </c>
      <c r="AX339" t="s">
        <v>266</v>
      </c>
      <c r="AZ339" t="s">
        <v>622</v>
      </c>
      <c r="BB339" t="s">
        <v>1729</v>
      </c>
      <c r="BC339" t="s">
        <v>443</v>
      </c>
      <c r="BF339" t="s">
        <v>1735</v>
      </c>
      <c r="BG339" t="s">
        <v>102</v>
      </c>
      <c r="BH339" t="s">
        <v>102</v>
      </c>
      <c r="BI339" t="s">
        <v>102</v>
      </c>
      <c r="BK339" t="s">
        <v>107</v>
      </c>
      <c r="BR339">
        <v>0.88</v>
      </c>
      <c r="BS339">
        <v>12.88</v>
      </c>
      <c r="BT339">
        <v>4.5</v>
      </c>
      <c r="CA339" t="s">
        <v>1736</v>
      </c>
      <c r="CB339" t="s">
        <v>266</v>
      </c>
      <c r="CH339">
        <v>93</v>
      </c>
      <c r="CI339">
        <v>6565</v>
      </c>
      <c r="CJ339">
        <v>4425</v>
      </c>
      <c r="CK339">
        <v>30000</v>
      </c>
      <c r="CL339" t="s">
        <v>100</v>
      </c>
      <c r="CM339" t="s">
        <v>102</v>
      </c>
      <c r="CN339" t="s">
        <v>240</v>
      </c>
      <c r="CO339" s="1">
        <v>42762</v>
      </c>
      <c r="CP339" s="1">
        <v>43634</v>
      </c>
    </row>
    <row r="340" spans="1:94" x14ac:dyDescent="0.25">
      <c r="A340" t="s">
        <v>1737</v>
      </c>
      <c r="B340" t="str">
        <f xml:space="preserve"> "" &amp; 840254046160</f>
        <v>840254046160</v>
      </c>
      <c r="C340" t="s">
        <v>390</v>
      </c>
      <c r="D340" t="s">
        <v>1738</v>
      </c>
      <c r="E340" t="s">
        <v>265</v>
      </c>
      <c r="F340" t="s">
        <v>371</v>
      </c>
      <c r="G340">
        <v>1</v>
      </c>
      <c r="H340">
        <v>1</v>
      </c>
      <c r="I340" t="s">
        <v>99</v>
      </c>
      <c r="J340" s="4">
        <v>495</v>
      </c>
      <c r="K340" s="4">
        <v>1485</v>
      </c>
      <c r="O340" t="s">
        <v>100</v>
      </c>
      <c r="P340" s="4">
        <v>1039.95</v>
      </c>
      <c r="S340">
        <v>23.5</v>
      </c>
      <c r="T340">
        <v>20.75</v>
      </c>
      <c r="U340">
        <v>20.75</v>
      </c>
      <c r="W340">
        <v>30.86</v>
      </c>
      <c r="X340">
        <v>1</v>
      </c>
      <c r="Y340">
        <v>18.5</v>
      </c>
      <c r="Z340">
        <v>22.88</v>
      </c>
      <c r="AA340">
        <v>22.88</v>
      </c>
      <c r="AB340">
        <v>5.6050000000000004</v>
      </c>
      <c r="AC340">
        <v>35.71</v>
      </c>
      <c r="AE340">
        <v>6</v>
      </c>
      <c r="AF340" t="s">
        <v>167</v>
      </c>
      <c r="AG340">
        <v>60</v>
      </c>
      <c r="AK340" t="s">
        <v>102</v>
      </c>
      <c r="AM340" t="s">
        <v>102</v>
      </c>
      <c r="AN340" t="s">
        <v>100</v>
      </c>
      <c r="AO340" t="s">
        <v>102</v>
      </c>
      <c r="AP340" t="s">
        <v>103</v>
      </c>
      <c r="AQ340" t="s">
        <v>104</v>
      </c>
      <c r="AR340" s="2">
        <v>42396</v>
      </c>
      <c r="AV340" t="s">
        <v>102</v>
      </c>
      <c r="AX340" t="s">
        <v>266</v>
      </c>
      <c r="AZ340" t="s">
        <v>189</v>
      </c>
      <c r="BB340" t="s">
        <v>267</v>
      </c>
      <c r="BC340" t="s">
        <v>275</v>
      </c>
      <c r="BD340" t="s">
        <v>1739</v>
      </c>
      <c r="BF340" t="s">
        <v>1740</v>
      </c>
      <c r="BG340" t="s">
        <v>102</v>
      </c>
      <c r="BH340" t="s">
        <v>102</v>
      </c>
      <c r="BI340" t="s">
        <v>102</v>
      </c>
      <c r="BK340" t="s">
        <v>107</v>
      </c>
      <c r="BQ340">
        <v>5.13</v>
      </c>
      <c r="BR340">
        <v>1</v>
      </c>
      <c r="BS340">
        <v>5.13</v>
      </c>
      <c r="BT340">
        <v>5.13</v>
      </c>
      <c r="CA340" t="s">
        <v>1741</v>
      </c>
      <c r="CB340" t="s">
        <v>266</v>
      </c>
      <c r="CL340" t="s">
        <v>100</v>
      </c>
      <c r="CM340" t="s">
        <v>100</v>
      </c>
      <c r="CN340" t="s">
        <v>272</v>
      </c>
      <c r="CO340" s="1">
        <v>42702</v>
      </c>
      <c r="CP340" s="1">
        <v>43634</v>
      </c>
    </row>
    <row r="341" spans="1:94" x14ac:dyDescent="0.25">
      <c r="A341" t="s">
        <v>1742</v>
      </c>
      <c r="B341" t="str">
        <f xml:space="preserve"> "" &amp; 840254046245</f>
        <v>840254046245</v>
      </c>
      <c r="C341" t="s">
        <v>960</v>
      </c>
      <c r="D341" t="s">
        <v>1743</v>
      </c>
      <c r="E341" t="s">
        <v>265</v>
      </c>
      <c r="F341" t="s">
        <v>828</v>
      </c>
      <c r="G341">
        <v>1</v>
      </c>
      <c r="H341">
        <v>1</v>
      </c>
      <c r="I341" t="s">
        <v>99</v>
      </c>
      <c r="J341" s="4">
        <v>575</v>
      </c>
      <c r="K341" s="4">
        <v>1725</v>
      </c>
      <c r="O341" t="s">
        <v>100</v>
      </c>
      <c r="P341" s="4">
        <v>1209.95</v>
      </c>
      <c r="S341">
        <v>28.25</v>
      </c>
      <c r="T341">
        <v>36</v>
      </c>
      <c r="U341">
        <v>11.5</v>
      </c>
      <c r="W341">
        <v>40.32</v>
      </c>
      <c r="X341">
        <v>1</v>
      </c>
      <c r="Y341">
        <v>21.38</v>
      </c>
      <c r="Z341">
        <v>38.630000000000003</v>
      </c>
      <c r="AA341">
        <v>14</v>
      </c>
      <c r="AB341">
        <v>6.6909999999999998</v>
      </c>
      <c r="AC341">
        <v>45.88</v>
      </c>
      <c r="AE341">
        <v>6</v>
      </c>
      <c r="AF341" t="s">
        <v>167</v>
      </c>
      <c r="AG341">
        <v>60</v>
      </c>
      <c r="AK341" t="s">
        <v>102</v>
      </c>
      <c r="AM341" t="s">
        <v>102</v>
      </c>
      <c r="AN341" t="s">
        <v>100</v>
      </c>
      <c r="AO341" t="s">
        <v>102</v>
      </c>
      <c r="AP341" t="s">
        <v>103</v>
      </c>
      <c r="AQ341" t="s">
        <v>104</v>
      </c>
      <c r="AV341" t="s">
        <v>102</v>
      </c>
      <c r="AX341" t="s">
        <v>266</v>
      </c>
      <c r="AZ341" t="s">
        <v>189</v>
      </c>
      <c r="BB341" t="s">
        <v>1744</v>
      </c>
      <c r="BC341" t="s">
        <v>275</v>
      </c>
      <c r="BD341" t="s">
        <v>1745</v>
      </c>
      <c r="BF341" t="s">
        <v>1746</v>
      </c>
      <c r="BG341" t="s">
        <v>102</v>
      </c>
      <c r="BH341" t="s">
        <v>102</v>
      </c>
      <c r="BI341" t="s">
        <v>102</v>
      </c>
      <c r="BK341" t="s">
        <v>107</v>
      </c>
      <c r="BR341">
        <v>0.88</v>
      </c>
      <c r="BS341">
        <v>16</v>
      </c>
      <c r="BT341">
        <v>16</v>
      </c>
      <c r="CB341" t="s">
        <v>266</v>
      </c>
      <c r="CL341" t="s">
        <v>100</v>
      </c>
      <c r="CM341" t="s">
        <v>102</v>
      </c>
      <c r="CN341" t="s">
        <v>272</v>
      </c>
      <c r="CO341" s="1">
        <v>42336</v>
      </c>
      <c r="CP341" s="1">
        <v>43634</v>
      </c>
    </row>
    <row r="342" spans="1:94" x14ac:dyDescent="0.25">
      <c r="A342" t="s">
        <v>1747</v>
      </c>
      <c r="B342" t="str">
        <f xml:space="preserve"> "" &amp; 840254046177</f>
        <v>840254046177</v>
      </c>
      <c r="C342" t="s">
        <v>691</v>
      </c>
      <c r="D342" t="s">
        <v>1748</v>
      </c>
      <c r="E342" t="s">
        <v>265</v>
      </c>
      <c r="F342" t="s">
        <v>98</v>
      </c>
      <c r="G342">
        <v>1</v>
      </c>
      <c r="H342">
        <v>1</v>
      </c>
      <c r="I342" t="s">
        <v>99</v>
      </c>
      <c r="J342" s="4">
        <v>695</v>
      </c>
      <c r="K342" s="4">
        <v>2085</v>
      </c>
      <c r="O342" t="s">
        <v>100</v>
      </c>
      <c r="P342" s="4">
        <v>1459.95</v>
      </c>
      <c r="S342">
        <v>31.25</v>
      </c>
      <c r="T342">
        <v>15</v>
      </c>
      <c r="U342">
        <v>15</v>
      </c>
      <c r="W342">
        <v>38.56</v>
      </c>
      <c r="X342">
        <v>1</v>
      </c>
      <c r="Y342">
        <v>33.5</v>
      </c>
      <c r="Z342">
        <v>18.5</v>
      </c>
      <c r="AA342">
        <v>16.5</v>
      </c>
      <c r="AB342">
        <v>5.9180000000000001</v>
      </c>
      <c r="AC342">
        <v>42.77</v>
      </c>
      <c r="AE342">
        <v>8</v>
      </c>
      <c r="AF342" t="s">
        <v>167</v>
      </c>
      <c r="AG342">
        <v>60</v>
      </c>
      <c r="AK342" t="s">
        <v>102</v>
      </c>
      <c r="AM342" t="s">
        <v>102</v>
      </c>
      <c r="AN342" t="s">
        <v>100</v>
      </c>
      <c r="AO342" t="s">
        <v>102</v>
      </c>
      <c r="AP342" t="s">
        <v>103</v>
      </c>
      <c r="AQ342" t="s">
        <v>104</v>
      </c>
      <c r="AV342" t="s">
        <v>102</v>
      </c>
      <c r="AX342" t="s">
        <v>266</v>
      </c>
      <c r="AZ342" t="s">
        <v>189</v>
      </c>
      <c r="BB342" t="s">
        <v>1749</v>
      </c>
      <c r="BC342" t="s">
        <v>275</v>
      </c>
      <c r="BF342" t="s">
        <v>1750</v>
      </c>
      <c r="BG342" t="s">
        <v>102</v>
      </c>
      <c r="BH342" t="s">
        <v>102</v>
      </c>
      <c r="BI342" t="s">
        <v>102</v>
      </c>
      <c r="BK342" t="s">
        <v>107</v>
      </c>
      <c r="BQ342">
        <v>5.13</v>
      </c>
      <c r="BR342">
        <v>1</v>
      </c>
      <c r="BS342">
        <v>5.13</v>
      </c>
      <c r="BT342">
        <v>5.13</v>
      </c>
      <c r="CA342" t="s">
        <v>1751</v>
      </c>
      <c r="CB342" t="s">
        <v>266</v>
      </c>
      <c r="CL342" t="s">
        <v>100</v>
      </c>
      <c r="CM342" t="s">
        <v>102</v>
      </c>
      <c r="CN342" t="s">
        <v>272</v>
      </c>
      <c r="CO342" s="1">
        <v>42336</v>
      </c>
      <c r="CP342" s="1">
        <v>43634</v>
      </c>
    </row>
    <row r="343" spans="1:94" x14ac:dyDescent="0.25">
      <c r="A343" t="s">
        <v>1752</v>
      </c>
      <c r="B343" t="str">
        <f xml:space="preserve"> "" &amp; 840254046221</f>
        <v>840254046221</v>
      </c>
      <c r="C343" t="s">
        <v>111</v>
      </c>
      <c r="D343" t="s">
        <v>1753</v>
      </c>
      <c r="E343" t="s">
        <v>265</v>
      </c>
      <c r="F343" t="s">
        <v>98</v>
      </c>
      <c r="G343">
        <v>1</v>
      </c>
      <c r="H343">
        <v>1</v>
      </c>
      <c r="I343" t="s">
        <v>99</v>
      </c>
      <c r="J343" s="4">
        <v>675</v>
      </c>
      <c r="K343" s="4">
        <v>2025</v>
      </c>
      <c r="O343" t="s">
        <v>100</v>
      </c>
      <c r="P343" s="4">
        <v>1419.95</v>
      </c>
      <c r="S343">
        <v>22.5</v>
      </c>
      <c r="T343">
        <v>26.5</v>
      </c>
      <c r="U343">
        <v>26.5</v>
      </c>
      <c r="W343">
        <v>39.46</v>
      </c>
      <c r="X343">
        <v>1</v>
      </c>
      <c r="Y343">
        <v>20.88</v>
      </c>
      <c r="Z343">
        <v>28.75</v>
      </c>
      <c r="AA343">
        <v>28.75</v>
      </c>
      <c r="AB343">
        <v>9.9879999999999995</v>
      </c>
      <c r="AC343">
        <v>47.18</v>
      </c>
      <c r="AE343">
        <v>8</v>
      </c>
      <c r="AF343" t="s">
        <v>167</v>
      </c>
      <c r="AG343">
        <v>60</v>
      </c>
      <c r="AK343" t="s">
        <v>102</v>
      </c>
      <c r="AM343" t="s">
        <v>102</v>
      </c>
      <c r="AN343" t="s">
        <v>100</v>
      </c>
      <c r="AO343" t="s">
        <v>102</v>
      </c>
      <c r="AP343" t="s">
        <v>103</v>
      </c>
      <c r="AQ343" t="s">
        <v>104</v>
      </c>
      <c r="AV343" t="s">
        <v>102</v>
      </c>
      <c r="AX343" t="s">
        <v>266</v>
      </c>
      <c r="AZ343" t="s">
        <v>189</v>
      </c>
      <c r="BB343" t="s">
        <v>267</v>
      </c>
      <c r="BC343" t="s">
        <v>275</v>
      </c>
      <c r="BD343" t="s">
        <v>269</v>
      </c>
      <c r="BF343" t="s">
        <v>1754</v>
      </c>
      <c r="BG343" t="s">
        <v>102</v>
      </c>
      <c r="BH343" t="s">
        <v>102</v>
      </c>
      <c r="BI343" t="s">
        <v>102</v>
      </c>
      <c r="BK343" t="s">
        <v>107</v>
      </c>
      <c r="BQ343">
        <v>5.13</v>
      </c>
      <c r="BR343">
        <v>1</v>
      </c>
      <c r="BS343">
        <v>5.13</v>
      </c>
      <c r="BT343">
        <v>5.13</v>
      </c>
      <c r="CB343" t="s">
        <v>266</v>
      </c>
      <c r="CL343" t="s">
        <v>100</v>
      </c>
      <c r="CM343" t="s">
        <v>102</v>
      </c>
      <c r="CN343" t="s">
        <v>272</v>
      </c>
      <c r="CO343" s="1">
        <v>42336</v>
      </c>
      <c r="CP343" s="1">
        <v>43634</v>
      </c>
    </row>
    <row r="344" spans="1:94" x14ac:dyDescent="0.25">
      <c r="A344" t="s">
        <v>1755</v>
      </c>
      <c r="B344" t="str">
        <f xml:space="preserve"> "" &amp; 840254046238</f>
        <v>840254046238</v>
      </c>
      <c r="C344" t="s">
        <v>791</v>
      </c>
      <c r="D344" t="s">
        <v>1756</v>
      </c>
      <c r="E344" t="s">
        <v>265</v>
      </c>
      <c r="F344" t="s">
        <v>371</v>
      </c>
      <c r="G344">
        <v>1</v>
      </c>
      <c r="H344">
        <v>1</v>
      </c>
      <c r="I344" t="s">
        <v>99</v>
      </c>
      <c r="J344" s="4">
        <v>775</v>
      </c>
      <c r="K344" s="4">
        <v>2325</v>
      </c>
      <c r="O344" t="s">
        <v>100</v>
      </c>
      <c r="P344" s="4">
        <v>1629.95</v>
      </c>
      <c r="S344">
        <v>26</v>
      </c>
      <c r="T344">
        <v>32.25</v>
      </c>
      <c r="U344">
        <v>32.25</v>
      </c>
      <c r="W344">
        <v>46.91</v>
      </c>
      <c r="X344">
        <v>1</v>
      </c>
      <c r="Y344">
        <v>20.88</v>
      </c>
      <c r="Z344">
        <v>34.25</v>
      </c>
      <c r="AA344">
        <v>34.25</v>
      </c>
      <c r="AB344">
        <v>14.175000000000001</v>
      </c>
      <c r="AC344">
        <v>58.4</v>
      </c>
      <c r="AE344">
        <v>10</v>
      </c>
      <c r="AF344" t="s">
        <v>167</v>
      </c>
      <c r="AG344">
        <v>60</v>
      </c>
      <c r="AK344" t="s">
        <v>102</v>
      </c>
      <c r="AM344" t="s">
        <v>102</v>
      </c>
      <c r="AN344" t="s">
        <v>100</v>
      </c>
      <c r="AO344" t="s">
        <v>102</v>
      </c>
      <c r="AP344" t="s">
        <v>103</v>
      </c>
      <c r="AQ344" t="s">
        <v>104</v>
      </c>
      <c r="AV344" t="s">
        <v>102</v>
      </c>
      <c r="AX344" t="s">
        <v>266</v>
      </c>
      <c r="AZ344" t="s">
        <v>189</v>
      </c>
      <c r="BB344" t="s">
        <v>1757</v>
      </c>
      <c r="BC344" t="s">
        <v>275</v>
      </c>
      <c r="BD344" t="s">
        <v>1739</v>
      </c>
      <c r="BF344" t="s">
        <v>1758</v>
      </c>
      <c r="BG344" t="s">
        <v>102</v>
      </c>
      <c r="BH344" t="s">
        <v>102</v>
      </c>
      <c r="BI344" t="s">
        <v>102</v>
      </c>
      <c r="BK344" t="s">
        <v>107</v>
      </c>
      <c r="BQ344">
        <v>5.13</v>
      </c>
      <c r="BR344">
        <v>1</v>
      </c>
      <c r="BS344">
        <v>5.13</v>
      </c>
      <c r="BT344">
        <v>5.13</v>
      </c>
      <c r="CA344" t="s">
        <v>1759</v>
      </c>
      <c r="CB344" t="s">
        <v>266</v>
      </c>
      <c r="CL344" t="s">
        <v>100</v>
      </c>
      <c r="CM344" t="s">
        <v>102</v>
      </c>
      <c r="CN344" t="s">
        <v>272</v>
      </c>
      <c r="CO344" s="1">
        <v>42336</v>
      </c>
      <c r="CP344" s="1">
        <v>43634</v>
      </c>
    </row>
    <row r="345" spans="1:94" x14ac:dyDescent="0.25">
      <c r="A345" t="s">
        <v>1760</v>
      </c>
      <c r="B345" t="str">
        <f xml:space="preserve"> "" &amp; 840254049444</f>
        <v>840254049444</v>
      </c>
      <c r="C345" t="s">
        <v>1054</v>
      </c>
      <c r="D345" t="s">
        <v>1761</v>
      </c>
      <c r="E345" t="s">
        <v>1762</v>
      </c>
      <c r="F345" t="s">
        <v>371</v>
      </c>
      <c r="G345">
        <v>1</v>
      </c>
      <c r="H345">
        <v>1</v>
      </c>
      <c r="I345" t="s">
        <v>99</v>
      </c>
      <c r="J345" s="4">
        <v>150</v>
      </c>
      <c r="K345" s="4">
        <v>450</v>
      </c>
      <c r="O345" t="s">
        <v>100</v>
      </c>
      <c r="P345" s="4">
        <v>319.95</v>
      </c>
      <c r="S345">
        <v>11.5</v>
      </c>
      <c r="T345">
        <v>8.75</v>
      </c>
      <c r="U345">
        <v>8.75</v>
      </c>
      <c r="W345">
        <v>6</v>
      </c>
      <c r="X345">
        <v>1</v>
      </c>
      <c r="Y345">
        <v>13.38</v>
      </c>
      <c r="Z345">
        <v>11.75</v>
      </c>
      <c r="AA345">
        <v>11.75</v>
      </c>
      <c r="AB345">
        <v>1.069</v>
      </c>
      <c r="AC345">
        <v>8.27</v>
      </c>
      <c r="AE345">
        <v>1</v>
      </c>
      <c r="AF345" t="s">
        <v>1763</v>
      </c>
      <c r="AG345">
        <v>60</v>
      </c>
      <c r="AK345" t="s">
        <v>102</v>
      </c>
      <c r="AM345" t="s">
        <v>102</v>
      </c>
      <c r="AN345" t="s">
        <v>100</v>
      </c>
      <c r="AO345" t="s">
        <v>102</v>
      </c>
      <c r="AP345" t="s">
        <v>117</v>
      </c>
      <c r="AQ345" t="s">
        <v>104</v>
      </c>
      <c r="AV345" t="s">
        <v>102</v>
      </c>
      <c r="AX345" t="s">
        <v>1764</v>
      </c>
      <c r="AZ345" t="s">
        <v>200</v>
      </c>
      <c r="BF345" t="s">
        <v>1765</v>
      </c>
      <c r="BG345" t="s">
        <v>102</v>
      </c>
      <c r="BH345" t="s">
        <v>102</v>
      </c>
      <c r="BI345" t="s">
        <v>102</v>
      </c>
      <c r="BK345" t="s">
        <v>191</v>
      </c>
      <c r="BQ345">
        <v>5</v>
      </c>
      <c r="BR345">
        <v>1</v>
      </c>
      <c r="BS345">
        <v>5</v>
      </c>
      <c r="BT345">
        <v>5</v>
      </c>
      <c r="CA345" t="s">
        <v>1766</v>
      </c>
      <c r="CB345" t="s">
        <v>1764</v>
      </c>
      <c r="CL345" t="s">
        <v>100</v>
      </c>
      <c r="CM345" t="s">
        <v>100</v>
      </c>
      <c r="CN345" t="s">
        <v>272</v>
      </c>
      <c r="CO345" s="1">
        <v>43535</v>
      </c>
      <c r="CP345" s="1">
        <v>43634</v>
      </c>
    </row>
    <row r="346" spans="1:94" x14ac:dyDescent="0.25">
      <c r="A346" t="s">
        <v>1767</v>
      </c>
      <c r="B346" t="str">
        <f xml:space="preserve"> "" &amp; 840254049475</f>
        <v>840254049475</v>
      </c>
      <c r="C346" t="s">
        <v>390</v>
      </c>
      <c r="D346" t="s">
        <v>1768</v>
      </c>
      <c r="E346" t="s">
        <v>1762</v>
      </c>
      <c r="F346" t="s">
        <v>371</v>
      </c>
      <c r="G346">
        <v>1</v>
      </c>
      <c r="H346">
        <v>1</v>
      </c>
      <c r="I346" t="s">
        <v>99</v>
      </c>
      <c r="J346" s="4">
        <v>575</v>
      </c>
      <c r="K346" s="4">
        <v>1725</v>
      </c>
      <c r="O346" t="s">
        <v>100</v>
      </c>
      <c r="P346" s="4">
        <v>1249.95</v>
      </c>
      <c r="S346">
        <v>31.25</v>
      </c>
      <c r="T346">
        <v>32</v>
      </c>
      <c r="U346">
        <v>32</v>
      </c>
      <c r="W346">
        <v>13.36</v>
      </c>
      <c r="X346">
        <v>1</v>
      </c>
      <c r="Y346">
        <v>31.5</v>
      </c>
      <c r="Z346">
        <v>34.880000000000003</v>
      </c>
      <c r="AA346">
        <v>30.88</v>
      </c>
      <c r="AB346">
        <v>19.635000000000002</v>
      </c>
      <c r="AC346">
        <v>28.84</v>
      </c>
      <c r="AE346">
        <v>6</v>
      </c>
      <c r="AF346" t="s">
        <v>167</v>
      </c>
      <c r="AG346">
        <v>60</v>
      </c>
      <c r="AK346" t="s">
        <v>102</v>
      </c>
      <c r="AM346" t="s">
        <v>102</v>
      </c>
      <c r="AN346" t="s">
        <v>100</v>
      </c>
      <c r="AO346" t="s">
        <v>102</v>
      </c>
      <c r="AP346" t="s">
        <v>117</v>
      </c>
      <c r="AQ346" t="s">
        <v>104</v>
      </c>
      <c r="AV346" t="s">
        <v>102</v>
      </c>
      <c r="AX346" t="s">
        <v>1764</v>
      </c>
      <c r="AZ346" t="s">
        <v>200</v>
      </c>
      <c r="BF346" t="s">
        <v>1769</v>
      </c>
      <c r="BG346" t="s">
        <v>102</v>
      </c>
      <c r="BH346" t="s">
        <v>102</v>
      </c>
      <c r="BI346" t="s">
        <v>102</v>
      </c>
      <c r="BK346" t="s">
        <v>191</v>
      </c>
      <c r="BQ346">
        <v>5.5</v>
      </c>
      <c r="BR346">
        <v>0.75</v>
      </c>
      <c r="BS346">
        <v>5.5</v>
      </c>
      <c r="BT346">
        <v>5.5</v>
      </c>
      <c r="CA346" t="s">
        <v>1770</v>
      </c>
      <c r="CB346" t="s">
        <v>1764</v>
      </c>
      <c r="CL346" t="s">
        <v>100</v>
      </c>
      <c r="CM346" t="s">
        <v>100</v>
      </c>
      <c r="CN346" t="s">
        <v>272</v>
      </c>
      <c r="CO346" s="1">
        <v>43536</v>
      </c>
      <c r="CP346" s="1">
        <v>43634</v>
      </c>
    </row>
    <row r="347" spans="1:94" x14ac:dyDescent="0.25">
      <c r="A347" t="s">
        <v>1771</v>
      </c>
      <c r="B347" t="str">
        <f xml:space="preserve"> "" &amp; 840254049451</f>
        <v>840254049451</v>
      </c>
      <c r="C347" t="s">
        <v>230</v>
      </c>
      <c r="D347" t="s">
        <v>1772</v>
      </c>
      <c r="E347" t="s">
        <v>1762</v>
      </c>
      <c r="F347" t="s">
        <v>179</v>
      </c>
      <c r="G347">
        <v>1</v>
      </c>
      <c r="H347">
        <v>1</v>
      </c>
      <c r="I347" t="s">
        <v>99</v>
      </c>
      <c r="J347" s="4">
        <v>120</v>
      </c>
      <c r="K347" s="4">
        <v>360</v>
      </c>
      <c r="O347" t="s">
        <v>100</v>
      </c>
      <c r="P347" s="4">
        <v>249.95</v>
      </c>
      <c r="S347">
        <v>15</v>
      </c>
      <c r="T347">
        <v>8.75</v>
      </c>
      <c r="V347">
        <v>5</v>
      </c>
      <c r="W347">
        <v>5.84</v>
      </c>
      <c r="X347">
        <v>1</v>
      </c>
      <c r="Y347">
        <v>7.5</v>
      </c>
      <c r="Z347">
        <v>15.63</v>
      </c>
      <c r="AA347">
        <v>11.25</v>
      </c>
      <c r="AB347">
        <v>0.76300000000000001</v>
      </c>
      <c r="AC347">
        <v>7.32</v>
      </c>
      <c r="AE347">
        <v>3</v>
      </c>
      <c r="AF347" t="s">
        <v>1773</v>
      </c>
      <c r="AG347">
        <v>60</v>
      </c>
      <c r="AK347" t="s">
        <v>102</v>
      </c>
      <c r="AM347" t="s">
        <v>102</v>
      </c>
      <c r="AN347" t="s">
        <v>100</v>
      </c>
      <c r="AO347" t="s">
        <v>102</v>
      </c>
      <c r="AP347" t="s">
        <v>117</v>
      </c>
      <c r="AQ347" t="s">
        <v>104</v>
      </c>
      <c r="AV347" t="s">
        <v>102</v>
      </c>
      <c r="AX347" t="s">
        <v>1764</v>
      </c>
      <c r="AZ347" t="s">
        <v>200</v>
      </c>
      <c r="BC347" t="s">
        <v>1774</v>
      </c>
      <c r="BF347" t="s">
        <v>1775</v>
      </c>
      <c r="BG347" t="s">
        <v>102</v>
      </c>
      <c r="BH347" t="s">
        <v>102</v>
      </c>
      <c r="BI347" t="s">
        <v>102</v>
      </c>
      <c r="BK347" t="s">
        <v>191</v>
      </c>
      <c r="BM347">
        <v>13.25</v>
      </c>
      <c r="BN347">
        <v>1</v>
      </c>
      <c r="CA347" t="s">
        <v>1776</v>
      </c>
      <c r="CB347" t="s">
        <v>1764</v>
      </c>
      <c r="CL347" t="s">
        <v>100</v>
      </c>
      <c r="CM347" t="s">
        <v>102</v>
      </c>
      <c r="CN347" t="s">
        <v>193</v>
      </c>
      <c r="CO347" s="1">
        <v>43535</v>
      </c>
      <c r="CP347" s="1">
        <v>43634</v>
      </c>
    </row>
    <row r="348" spans="1:94" x14ac:dyDescent="0.25">
      <c r="A348" t="s">
        <v>1777</v>
      </c>
      <c r="B348" t="str">
        <f xml:space="preserve"> "" &amp; 840254049482</f>
        <v>840254049482</v>
      </c>
      <c r="C348" t="s">
        <v>911</v>
      </c>
      <c r="D348" t="s">
        <v>1778</v>
      </c>
      <c r="E348" t="s">
        <v>1762</v>
      </c>
      <c r="F348" t="s">
        <v>371</v>
      </c>
      <c r="G348">
        <v>1</v>
      </c>
      <c r="H348">
        <v>1</v>
      </c>
      <c r="I348" t="s">
        <v>99</v>
      </c>
      <c r="J348" s="4">
        <v>350</v>
      </c>
      <c r="K348" s="4">
        <v>1050</v>
      </c>
      <c r="O348" t="s">
        <v>100</v>
      </c>
      <c r="P348" s="4">
        <v>749.95</v>
      </c>
      <c r="S348">
        <v>27.25</v>
      </c>
      <c r="T348">
        <v>14.5</v>
      </c>
      <c r="U348">
        <v>14.5</v>
      </c>
      <c r="W348">
        <v>11.82</v>
      </c>
      <c r="X348">
        <v>1</v>
      </c>
      <c r="Y348">
        <v>26.5</v>
      </c>
      <c r="Z348">
        <v>17.25</v>
      </c>
      <c r="AA348">
        <v>17.25</v>
      </c>
      <c r="AB348">
        <v>4.5629999999999997</v>
      </c>
      <c r="AC348">
        <v>17.53</v>
      </c>
      <c r="AE348">
        <v>4</v>
      </c>
      <c r="AF348" t="s">
        <v>176</v>
      </c>
      <c r="AG348">
        <v>60</v>
      </c>
      <c r="AK348" t="s">
        <v>102</v>
      </c>
      <c r="AM348" t="s">
        <v>102</v>
      </c>
      <c r="AN348" t="s">
        <v>100</v>
      </c>
      <c r="AO348" t="s">
        <v>102</v>
      </c>
      <c r="AP348" t="s">
        <v>117</v>
      </c>
      <c r="AQ348" t="s">
        <v>104</v>
      </c>
      <c r="AV348" t="s">
        <v>102</v>
      </c>
      <c r="AX348" t="s">
        <v>1764</v>
      </c>
      <c r="AZ348" t="s">
        <v>200</v>
      </c>
      <c r="BF348" t="s">
        <v>1779</v>
      </c>
      <c r="BG348" t="s">
        <v>102</v>
      </c>
      <c r="BH348" t="s">
        <v>102</v>
      </c>
      <c r="BI348" t="s">
        <v>102</v>
      </c>
      <c r="BK348" t="s">
        <v>191</v>
      </c>
      <c r="BQ348">
        <v>5.5</v>
      </c>
      <c r="BR348">
        <v>0.75</v>
      </c>
      <c r="BS348">
        <v>5.5</v>
      </c>
      <c r="BT348">
        <v>5.5</v>
      </c>
      <c r="CA348" t="s">
        <v>1780</v>
      </c>
      <c r="CB348" t="s">
        <v>1764</v>
      </c>
      <c r="CL348" t="s">
        <v>100</v>
      </c>
      <c r="CM348" t="s">
        <v>100</v>
      </c>
      <c r="CN348" t="s">
        <v>272</v>
      </c>
      <c r="CO348" s="1">
        <v>43535</v>
      </c>
      <c r="CP348" s="1">
        <v>43634</v>
      </c>
    </row>
    <row r="349" spans="1:94" x14ac:dyDescent="0.25">
      <c r="A349" t="s">
        <v>1781</v>
      </c>
      <c r="B349" t="str">
        <f xml:space="preserve"> "" &amp; 840254049499</f>
        <v>840254049499</v>
      </c>
      <c r="C349" t="s">
        <v>1782</v>
      </c>
      <c r="D349" t="s">
        <v>1783</v>
      </c>
      <c r="E349" t="s">
        <v>1762</v>
      </c>
      <c r="F349" t="s">
        <v>828</v>
      </c>
      <c r="G349">
        <v>1</v>
      </c>
      <c r="H349">
        <v>1</v>
      </c>
      <c r="I349" t="s">
        <v>99</v>
      </c>
      <c r="J349" s="4">
        <v>675</v>
      </c>
      <c r="K349" s="4">
        <v>2025</v>
      </c>
      <c r="O349" t="s">
        <v>100</v>
      </c>
      <c r="P349" s="4">
        <v>1449.95</v>
      </c>
      <c r="S349">
        <v>15</v>
      </c>
      <c r="U349">
        <v>42</v>
      </c>
      <c r="V349">
        <v>14</v>
      </c>
      <c r="W349">
        <v>22.38</v>
      </c>
      <c r="X349">
        <v>1</v>
      </c>
      <c r="Y349">
        <v>11.5</v>
      </c>
      <c r="Z349">
        <v>45.75</v>
      </c>
      <c r="AA349">
        <v>16.75</v>
      </c>
      <c r="AB349">
        <v>5.0999999999999996</v>
      </c>
      <c r="AC349">
        <v>29.54</v>
      </c>
      <c r="AE349">
        <v>10</v>
      </c>
      <c r="AF349" t="s">
        <v>1784</v>
      </c>
      <c r="AG349">
        <v>60</v>
      </c>
      <c r="AK349" t="s">
        <v>102</v>
      </c>
      <c r="AM349" t="s">
        <v>102</v>
      </c>
      <c r="AN349" t="s">
        <v>100</v>
      </c>
      <c r="AO349" t="s">
        <v>102</v>
      </c>
      <c r="AP349" t="s">
        <v>117</v>
      </c>
      <c r="AQ349" t="s">
        <v>104</v>
      </c>
      <c r="AV349" t="s">
        <v>102</v>
      </c>
      <c r="AX349" t="s">
        <v>1764</v>
      </c>
      <c r="AZ349" t="s">
        <v>200</v>
      </c>
      <c r="BC349" t="s">
        <v>1774</v>
      </c>
      <c r="BF349" t="s">
        <v>1785</v>
      </c>
      <c r="BG349" t="s">
        <v>102</v>
      </c>
      <c r="BH349" t="s">
        <v>102</v>
      </c>
      <c r="BI349" t="s">
        <v>102</v>
      </c>
      <c r="BK349" t="s">
        <v>191</v>
      </c>
      <c r="BR349">
        <v>0.75</v>
      </c>
      <c r="BT349">
        <v>14.5</v>
      </c>
      <c r="CA349" t="s">
        <v>1786</v>
      </c>
      <c r="CB349" t="s">
        <v>1764</v>
      </c>
      <c r="CL349" t="s">
        <v>100</v>
      </c>
      <c r="CM349" t="s">
        <v>102</v>
      </c>
      <c r="CN349" t="s">
        <v>272</v>
      </c>
      <c r="CO349" s="1">
        <v>43535</v>
      </c>
      <c r="CP349" s="1">
        <v>43634</v>
      </c>
    </row>
    <row r="350" spans="1:94" x14ac:dyDescent="0.25">
      <c r="A350" t="s">
        <v>1787</v>
      </c>
      <c r="B350" t="str">
        <f xml:space="preserve"> "" &amp; 840254049437</f>
        <v>840254049437</v>
      </c>
      <c r="C350" t="s">
        <v>390</v>
      </c>
      <c r="D350" t="s">
        <v>1768</v>
      </c>
      <c r="E350" t="s">
        <v>1762</v>
      </c>
      <c r="F350" t="s">
        <v>371</v>
      </c>
      <c r="G350">
        <v>1</v>
      </c>
      <c r="H350">
        <v>1</v>
      </c>
      <c r="I350" t="s">
        <v>99</v>
      </c>
      <c r="J350" s="4">
        <v>350</v>
      </c>
      <c r="K350" s="4">
        <v>1050</v>
      </c>
      <c r="O350" t="s">
        <v>100</v>
      </c>
      <c r="P350" s="4">
        <v>749.95</v>
      </c>
      <c r="S350">
        <v>20</v>
      </c>
      <c r="T350">
        <v>18.25</v>
      </c>
      <c r="U350">
        <v>18.25</v>
      </c>
      <c r="W350">
        <v>11.79</v>
      </c>
      <c r="X350">
        <v>1</v>
      </c>
      <c r="Y350">
        <v>11.25</v>
      </c>
      <c r="Z350">
        <v>21.5</v>
      </c>
      <c r="AA350">
        <v>21.5</v>
      </c>
      <c r="AB350">
        <v>3.0089999999999999</v>
      </c>
      <c r="AC350">
        <v>16.12</v>
      </c>
      <c r="AE350">
        <v>6</v>
      </c>
      <c r="AF350" t="s">
        <v>1784</v>
      </c>
      <c r="AG350">
        <v>60</v>
      </c>
      <c r="AK350" t="s">
        <v>102</v>
      </c>
      <c r="AM350" t="s">
        <v>102</v>
      </c>
      <c r="AN350" t="s">
        <v>100</v>
      </c>
      <c r="AO350" t="s">
        <v>102</v>
      </c>
      <c r="AP350" t="s">
        <v>117</v>
      </c>
      <c r="AQ350" t="s">
        <v>104</v>
      </c>
      <c r="AV350" t="s">
        <v>102</v>
      </c>
      <c r="AX350" t="s">
        <v>1764</v>
      </c>
      <c r="AZ350" t="s">
        <v>200</v>
      </c>
      <c r="BC350" t="s">
        <v>1774</v>
      </c>
      <c r="BF350" t="s">
        <v>1788</v>
      </c>
      <c r="BG350" t="s">
        <v>102</v>
      </c>
      <c r="BH350" t="s">
        <v>102</v>
      </c>
      <c r="BI350" t="s">
        <v>102</v>
      </c>
      <c r="BK350" t="s">
        <v>191</v>
      </c>
      <c r="BR350">
        <v>1</v>
      </c>
      <c r="BT350">
        <v>5</v>
      </c>
      <c r="CA350" t="s">
        <v>1789</v>
      </c>
      <c r="CB350" t="s">
        <v>1764</v>
      </c>
      <c r="CL350" t="s">
        <v>100</v>
      </c>
      <c r="CM350" t="s">
        <v>100</v>
      </c>
      <c r="CN350" t="s">
        <v>272</v>
      </c>
      <c r="CO350" s="1">
        <v>43535</v>
      </c>
      <c r="CP350" s="1">
        <v>43634</v>
      </c>
    </row>
    <row r="351" spans="1:94" x14ac:dyDescent="0.25">
      <c r="A351" t="s">
        <v>1790</v>
      </c>
      <c r="B351" t="str">
        <f xml:space="preserve"> "" &amp; 840254049468</f>
        <v>840254049468</v>
      </c>
      <c r="C351" t="s">
        <v>390</v>
      </c>
      <c r="D351" t="s">
        <v>1768</v>
      </c>
      <c r="E351" t="s">
        <v>1762</v>
      </c>
      <c r="F351" t="s">
        <v>371</v>
      </c>
      <c r="G351">
        <v>1</v>
      </c>
      <c r="H351">
        <v>1</v>
      </c>
      <c r="I351" t="s">
        <v>99</v>
      </c>
      <c r="J351" s="4">
        <v>450</v>
      </c>
      <c r="K351" s="4">
        <v>1350</v>
      </c>
      <c r="O351" t="s">
        <v>100</v>
      </c>
      <c r="P351" s="4">
        <v>949.95</v>
      </c>
      <c r="S351">
        <v>17.5</v>
      </c>
      <c r="T351">
        <v>14.5</v>
      </c>
      <c r="U351">
        <v>14.5</v>
      </c>
      <c r="W351">
        <v>14.44</v>
      </c>
      <c r="X351">
        <v>1</v>
      </c>
      <c r="Y351">
        <v>18.5</v>
      </c>
      <c r="Z351">
        <v>17.38</v>
      </c>
      <c r="AA351">
        <v>17.38</v>
      </c>
      <c r="AB351">
        <v>3.234</v>
      </c>
      <c r="AC351">
        <v>18.78</v>
      </c>
      <c r="AE351">
        <v>6</v>
      </c>
      <c r="AF351" t="s">
        <v>1784</v>
      </c>
      <c r="AG351">
        <v>60</v>
      </c>
      <c r="AK351" t="s">
        <v>102</v>
      </c>
      <c r="AM351" t="s">
        <v>102</v>
      </c>
      <c r="AN351" t="s">
        <v>100</v>
      </c>
      <c r="AO351" t="s">
        <v>102</v>
      </c>
      <c r="AP351" t="s">
        <v>117</v>
      </c>
      <c r="AQ351" t="s">
        <v>104</v>
      </c>
      <c r="AV351" t="s">
        <v>102</v>
      </c>
      <c r="AX351" t="s">
        <v>1764</v>
      </c>
      <c r="AZ351" t="s">
        <v>200</v>
      </c>
      <c r="BC351" t="s">
        <v>1774</v>
      </c>
      <c r="BF351" t="s">
        <v>1791</v>
      </c>
      <c r="BG351" t="s">
        <v>102</v>
      </c>
      <c r="BH351" t="s">
        <v>102</v>
      </c>
      <c r="BI351" t="s">
        <v>102</v>
      </c>
      <c r="BK351" t="s">
        <v>191</v>
      </c>
      <c r="BR351">
        <v>1</v>
      </c>
      <c r="BT351">
        <v>5</v>
      </c>
      <c r="CA351" t="s">
        <v>1792</v>
      </c>
      <c r="CB351" t="s">
        <v>1764</v>
      </c>
      <c r="CL351" t="s">
        <v>100</v>
      </c>
      <c r="CM351" t="s">
        <v>100</v>
      </c>
      <c r="CN351" t="s">
        <v>272</v>
      </c>
      <c r="CO351" s="1">
        <v>43535</v>
      </c>
      <c r="CP351" s="1">
        <v>43634</v>
      </c>
    </row>
    <row r="352" spans="1:94" x14ac:dyDescent="0.25">
      <c r="A352" t="s">
        <v>1793</v>
      </c>
      <c r="B352" t="str">
        <f xml:space="preserve"> "" &amp; 840254049420</f>
        <v>840254049420</v>
      </c>
      <c r="C352" t="s">
        <v>691</v>
      </c>
      <c r="D352" t="s">
        <v>1794</v>
      </c>
      <c r="E352" t="s">
        <v>1762</v>
      </c>
      <c r="F352" t="s">
        <v>371</v>
      </c>
      <c r="G352">
        <v>1</v>
      </c>
      <c r="H352">
        <v>1</v>
      </c>
      <c r="I352" t="s">
        <v>99</v>
      </c>
      <c r="J352" s="4">
        <v>495</v>
      </c>
      <c r="K352" s="4">
        <v>1485</v>
      </c>
      <c r="O352" t="s">
        <v>100</v>
      </c>
      <c r="P352" s="4">
        <v>1049.95</v>
      </c>
      <c r="S352">
        <v>20</v>
      </c>
      <c r="T352">
        <v>24</v>
      </c>
      <c r="U352">
        <v>24</v>
      </c>
      <c r="W352">
        <v>16.760000000000002</v>
      </c>
      <c r="X352">
        <v>1</v>
      </c>
      <c r="Y352">
        <v>13</v>
      </c>
      <c r="Z352">
        <v>27.25</v>
      </c>
      <c r="AA352">
        <v>27.25</v>
      </c>
      <c r="AB352">
        <v>5.5860000000000003</v>
      </c>
      <c r="AC352">
        <v>23.5</v>
      </c>
      <c r="AE352">
        <v>8</v>
      </c>
      <c r="AF352" t="s">
        <v>1784</v>
      </c>
      <c r="AG352">
        <v>60</v>
      </c>
      <c r="AK352" t="s">
        <v>102</v>
      </c>
      <c r="AM352" t="s">
        <v>102</v>
      </c>
      <c r="AN352" t="s">
        <v>100</v>
      </c>
      <c r="AO352" t="s">
        <v>102</v>
      </c>
      <c r="AP352" t="s">
        <v>117</v>
      </c>
      <c r="AQ352" t="s">
        <v>104</v>
      </c>
      <c r="AV352" t="s">
        <v>102</v>
      </c>
      <c r="AX352" t="s">
        <v>1764</v>
      </c>
      <c r="AZ352" t="s">
        <v>200</v>
      </c>
      <c r="BC352" t="s">
        <v>1774</v>
      </c>
      <c r="BF352" t="s">
        <v>1795</v>
      </c>
      <c r="BG352" t="s">
        <v>102</v>
      </c>
      <c r="BH352" t="s">
        <v>102</v>
      </c>
      <c r="BI352" t="s">
        <v>102</v>
      </c>
      <c r="BK352" t="s">
        <v>191</v>
      </c>
      <c r="BR352">
        <v>1</v>
      </c>
      <c r="BT352">
        <v>5</v>
      </c>
      <c r="CA352" t="s">
        <v>1796</v>
      </c>
      <c r="CB352" t="s">
        <v>1764</v>
      </c>
      <c r="CL352" t="s">
        <v>100</v>
      </c>
      <c r="CM352" t="s">
        <v>100</v>
      </c>
      <c r="CN352" t="s">
        <v>272</v>
      </c>
      <c r="CO352" s="1">
        <v>43535</v>
      </c>
      <c r="CP352" s="1">
        <v>43634</v>
      </c>
    </row>
    <row r="353" spans="1:94" x14ac:dyDescent="0.25">
      <c r="A353" t="s">
        <v>1797</v>
      </c>
      <c r="B353" t="str">
        <f xml:space="preserve"> "" &amp; 840254049505</f>
        <v>840254049505</v>
      </c>
      <c r="C353" t="s">
        <v>1130</v>
      </c>
      <c r="D353" t="s">
        <v>1798</v>
      </c>
      <c r="E353" t="s">
        <v>1762</v>
      </c>
      <c r="F353" t="s">
        <v>371</v>
      </c>
      <c r="G353">
        <v>1</v>
      </c>
      <c r="H353">
        <v>1</v>
      </c>
      <c r="I353" t="s">
        <v>99</v>
      </c>
      <c r="J353" s="4">
        <v>795</v>
      </c>
      <c r="K353" s="4">
        <v>2385</v>
      </c>
      <c r="O353" t="s">
        <v>100</v>
      </c>
      <c r="P353" s="4">
        <v>1699.95</v>
      </c>
      <c r="S353">
        <v>20.5</v>
      </c>
      <c r="T353">
        <v>32</v>
      </c>
      <c r="U353">
        <v>32</v>
      </c>
      <c r="W353">
        <v>22.38</v>
      </c>
      <c r="X353">
        <v>1</v>
      </c>
      <c r="Y353">
        <v>12.75</v>
      </c>
      <c r="Z353">
        <v>35.5</v>
      </c>
      <c r="AA353">
        <v>35.5</v>
      </c>
      <c r="AB353">
        <v>9.2989999999999995</v>
      </c>
      <c r="AC353">
        <v>33.29</v>
      </c>
      <c r="AE353">
        <v>10</v>
      </c>
      <c r="AF353" t="s">
        <v>1784</v>
      </c>
      <c r="AG353">
        <v>60</v>
      </c>
      <c r="AK353" t="s">
        <v>102</v>
      </c>
      <c r="AM353" t="s">
        <v>102</v>
      </c>
      <c r="AN353" t="s">
        <v>100</v>
      </c>
      <c r="AO353" t="s">
        <v>102</v>
      </c>
      <c r="AP353" t="s">
        <v>117</v>
      </c>
      <c r="AQ353" t="s">
        <v>104</v>
      </c>
      <c r="AV353" t="s">
        <v>102</v>
      </c>
      <c r="AX353" t="s">
        <v>1764</v>
      </c>
      <c r="AZ353" t="s">
        <v>200</v>
      </c>
      <c r="BF353" t="s">
        <v>1799</v>
      </c>
      <c r="BG353" t="s">
        <v>102</v>
      </c>
      <c r="BH353" t="s">
        <v>102</v>
      </c>
      <c r="BI353" t="s">
        <v>102</v>
      </c>
      <c r="BK353" t="s">
        <v>191</v>
      </c>
      <c r="BR353">
        <v>1</v>
      </c>
      <c r="BT353">
        <v>5</v>
      </c>
      <c r="CA353" t="s">
        <v>1800</v>
      </c>
      <c r="CB353" t="s">
        <v>1764</v>
      </c>
      <c r="CL353" t="s">
        <v>100</v>
      </c>
      <c r="CM353" t="s">
        <v>102</v>
      </c>
      <c r="CN353" t="s">
        <v>272</v>
      </c>
      <c r="CO353" s="1">
        <v>43535</v>
      </c>
      <c r="CP353" s="1">
        <v>43634</v>
      </c>
    </row>
    <row r="354" spans="1:94" x14ac:dyDescent="0.25">
      <c r="A354" t="s">
        <v>1802</v>
      </c>
      <c r="B354" t="str">
        <f xml:space="preserve"> "" &amp; 840254049406</f>
        <v>840254049406</v>
      </c>
      <c r="C354" t="s">
        <v>400</v>
      </c>
      <c r="D354" t="s">
        <v>1803</v>
      </c>
      <c r="E354" t="s">
        <v>1804</v>
      </c>
      <c r="F354" t="s">
        <v>371</v>
      </c>
      <c r="G354">
        <v>1</v>
      </c>
      <c r="H354">
        <v>1</v>
      </c>
      <c r="I354" t="s">
        <v>99</v>
      </c>
      <c r="J354" s="4">
        <v>940</v>
      </c>
      <c r="K354" s="4">
        <v>2820</v>
      </c>
      <c r="O354" t="s">
        <v>100</v>
      </c>
      <c r="P354" s="4">
        <v>1989.95</v>
      </c>
      <c r="S354">
        <v>24.75</v>
      </c>
      <c r="T354">
        <v>17</v>
      </c>
      <c r="U354">
        <v>17</v>
      </c>
      <c r="W354">
        <v>36.6</v>
      </c>
      <c r="X354">
        <v>1</v>
      </c>
      <c r="Y354">
        <v>28</v>
      </c>
      <c r="Z354">
        <v>18.75</v>
      </c>
      <c r="AA354">
        <v>18.75</v>
      </c>
      <c r="AB354">
        <v>5.6970000000000001</v>
      </c>
      <c r="AC354">
        <v>42.26</v>
      </c>
      <c r="AE354">
        <v>12</v>
      </c>
      <c r="AF354" t="s">
        <v>1805</v>
      </c>
      <c r="AG354">
        <v>60</v>
      </c>
      <c r="AK354" t="s">
        <v>102</v>
      </c>
      <c r="AM354" t="s">
        <v>102</v>
      </c>
      <c r="AN354" t="s">
        <v>100</v>
      </c>
      <c r="AO354" t="s">
        <v>102</v>
      </c>
      <c r="AP354" t="s">
        <v>117</v>
      </c>
      <c r="AQ354" t="s">
        <v>104</v>
      </c>
      <c r="AV354" t="s">
        <v>102</v>
      </c>
      <c r="AX354" t="s">
        <v>1806</v>
      </c>
      <c r="AZ354" t="s">
        <v>189</v>
      </c>
      <c r="BC354" t="s">
        <v>275</v>
      </c>
      <c r="BF354" t="s">
        <v>1807</v>
      </c>
      <c r="BG354" t="s">
        <v>102</v>
      </c>
      <c r="BH354" t="s">
        <v>102</v>
      </c>
      <c r="BI354" t="s">
        <v>102</v>
      </c>
      <c r="BK354" t="s">
        <v>191</v>
      </c>
      <c r="BQ354">
        <v>5</v>
      </c>
      <c r="BR354">
        <v>1</v>
      </c>
      <c r="BS354">
        <v>5</v>
      </c>
      <c r="BT354">
        <v>5</v>
      </c>
      <c r="CA354" t="s">
        <v>1808</v>
      </c>
      <c r="CB354" t="s">
        <v>1806</v>
      </c>
      <c r="CL354" t="s">
        <v>100</v>
      </c>
      <c r="CM354" t="s">
        <v>102</v>
      </c>
      <c r="CN354" t="s">
        <v>272</v>
      </c>
      <c r="CO354" s="1">
        <v>43532</v>
      </c>
      <c r="CP354" s="1">
        <v>43634</v>
      </c>
    </row>
    <row r="355" spans="1:94" x14ac:dyDescent="0.25">
      <c r="A355" t="s">
        <v>1809</v>
      </c>
      <c r="B355" t="str">
        <f xml:space="preserve"> "" &amp; 840254049390</f>
        <v>840254049390</v>
      </c>
      <c r="C355" t="s">
        <v>400</v>
      </c>
      <c r="D355" t="s">
        <v>1803</v>
      </c>
      <c r="E355" t="s">
        <v>1804</v>
      </c>
      <c r="F355" t="s">
        <v>371</v>
      </c>
      <c r="G355">
        <v>1</v>
      </c>
      <c r="H355">
        <v>1</v>
      </c>
      <c r="I355" t="s">
        <v>99</v>
      </c>
      <c r="J355" s="4">
        <v>695</v>
      </c>
      <c r="K355" s="4">
        <v>2085</v>
      </c>
      <c r="O355" t="s">
        <v>100</v>
      </c>
      <c r="P355" s="4">
        <v>1499.95</v>
      </c>
      <c r="S355">
        <v>20</v>
      </c>
      <c r="T355">
        <v>26.25</v>
      </c>
      <c r="U355">
        <v>26.25</v>
      </c>
      <c r="W355">
        <v>35.53</v>
      </c>
      <c r="X355">
        <v>1</v>
      </c>
      <c r="Y355">
        <v>11</v>
      </c>
      <c r="Z355">
        <v>28</v>
      </c>
      <c r="AA355">
        <v>28</v>
      </c>
      <c r="AB355">
        <v>4.9909999999999997</v>
      </c>
      <c r="AC355">
        <v>41.6</v>
      </c>
      <c r="AE355">
        <v>12</v>
      </c>
      <c r="AF355" t="s">
        <v>1805</v>
      </c>
      <c r="AG355">
        <v>60</v>
      </c>
      <c r="AK355" t="s">
        <v>102</v>
      </c>
      <c r="AM355" t="s">
        <v>102</v>
      </c>
      <c r="AN355" t="s">
        <v>100</v>
      </c>
      <c r="AO355" t="s">
        <v>102</v>
      </c>
      <c r="AP355" t="s">
        <v>117</v>
      </c>
      <c r="AQ355" t="s">
        <v>104</v>
      </c>
      <c r="AV355" t="s">
        <v>102</v>
      </c>
      <c r="AX355" t="s">
        <v>1806</v>
      </c>
      <c r="AZ355" t="s">
        <v>189</v>
      </c>
      <c r="BC355" t="s">
        <v>275</v>
      </c>
      <c r="BF355" t="s">
        <v>1810</v>
      </c>
      <c r="BG355" t="s">
        <v>102</v>
      </c>
      <c r="BH355" t="s">
        <v>102</v>
      </c>
      <c r="BI355" t="s">
        <v>102</v>
      </c>
      <c r="BK355" t="s">
        <v>191</v>
      </c>
      <c r="BR355">
        <v>1</v>
      </c>
      <c r="BT355">
        <v>5</v>
      </c>
      <c r="CA355" t="s">
        <v>1811</v>
      </c>
      <c r="CB355" t="s">
        <v>1806</v>
      </c>
      <c r="CL355" t="s">
        <v>100</v>
      </c>
      <c r="CM355" t="s">
        <v>102</v>
      </c>
      <c r="CN355" t="s">
        <v>272</v>
      </c>
      <c r="CO355" s="1">
        <v>43532</v>
      </c>
      <c r="CP355" s="1">
        <v>43634</v>
      </c>
    </row>
    <row r="356" spans="1:94" x14ac:dyDescent="0.25">
      <c r="A356" t="s">
        <v>1812</v>
      </c>
      <c r="B356" t="str">
        <f xml:space="preserve"> "" &amp; 840254049413</f>
        <v>840254049413</v>
      </c>
      <c r="C356" t="s">
        <v>1813</v>
      </c>
      <c r="D356" t="s">
        <v>1814</v>
      </c>
      <c r="E356" t="s">
        <v>1804</v>
      </c>
      <c r="F356" t="s">
        <v>828</v>
      </c>
      <c r="G356">
        <v>1</v>
      </c>
      <c r="H356">
        <v>1</v>
      </c>
      <c r="I356" t="s">
        <v>99</v>
      </c>
      <c r="J356" s="4">
        <v>950</v>
      </c>
      <c r="K356" s="4">
        <v>2850</v>
      </c>
      <c r="O356" t="s">
        <v>100</v>
      </c>
      <c r="P356" s="4">
        <v>1999.95</v>
      </c>
      <c r="S356">
        <v>18</v>
      </c>
      <c r="U356">
        <v>45</v>
      </c>
      <c r="V356">
        <v>13.75</v>
      </c>
      <c r="W356">
        <v>40.15</v>
      </c>
      <c r="X356">
        <v>1</v>
      </c>
      <c r="Y356">
        <v>10.88</v>
      </c>
      <c r="Z356">
        <v>46.75</v>
      </c>
      <c r="AA356">
        <v>14.75</v>
      </c>
      <c r="AB356">
        <v>4.3419999999999996</v>
      </c>
      <c r="AC356">
        <v>45.01</v>
      </c>
      <c r="AE356">
        <v>16</v>
      </c>
      <c r="AF356" t="s">
        <v>1805</v>
      </c>
      <c r="AG356">
        <v>60</v>
      </c>
      <c r="AK356" t="s">
        <v>102</v>
      </c>
      <c r="AM356" t="s">
        <v>102</v>
      </c>
      <c r="AN356" t="s">
        <v>100</v>
      </c>
      <c r="AO356" t="s">
        <v>102</v>
      </c>
      <c r="AP356" t="s">
        <v>117</v>
      </c>
      <c r="AQ356" t="s">
        <v>104</v>
      </c>
      <c r="AV356" t="s">
        <v>102</v>
      </c>
      <c r="AX356" t="s">
        <v>1806</v>
      </c>
      <c r="AZ356" t="s">
        <v>189</v>
      </c>
      <c r="BC356" t="s">
        <v>275</v>
      </c>
      <c r="BF356" t="s">
        <v>1815</v>
      </c>
      <c r="BG356" t="s">
        <v>102</v>
      </c>
      <c r="BH356" t="s">
        <v>102</v>
      </c>
      <c r="BI356" t="s">
        <v>102</v>
      </c>
      <c r="BK356" t="s">
        <v>191</v>
      </c>
      <c r="BR356">
        <v>5</v>
      </c>
      <c r="BT356">
        <v>22</v>
      </c>
      <c r="CA356" t="s">
        <v>1816</v>
      </c>
      <c r="CB356" t="s">
        <v>1806</v>
      </c>
      <c r="CL356" t="s">
        <v>100</v>
      </c>
      <c r="CM356" t="s">
        <v>102</v>
      </c>
      <c r="CN356" t="s">
        <v>272</v>
      </c>
      <c r="CO356" s="1">
        <v>43535</v>
      </c>
      <c r="CP356" s="1">
        <v>43634</v>
      </c>
    </row>
    <row r="357" spans="1:94" x14ac:dyDescent="0.25">
      <c r="A357" t="s">
        <v>1817</v>
      </c>
      <c r="B357" t="str">
        <f xml:space="preserve"> "" &amp; 840254049383</f>
        <v>840254049383</v>
      </c>
      <c r="C357" t="s">
        <v>1818</v>
      </c>
      <c r="D357" t="s">
        <v>1819</v>
      </c>
      <c r="E357" t="s">
        <v>1804</v>
      </c>
      <c r="F357" t="s">
        <v>371</v>
      </c>
      <c r="G357">
        <v>1</v>
      </c>
      <c r="H357">
        <v>1</v>
      </c>
      <c r="I357" t="s">
        <v>99</v>
      </c>
      <c r="J357" s="4">
        <v>945</v>
      </c>
      <c r="K357" s="4">
        <v>2835</v>
      </c>
      <c r="O357" t="s">
        <v>100</v>
      </c>
      <c r="P357" s="4">
        <v>1999.95</v>
      </c>
      <c r="S357">
        <v>20</v>
      </c>
      <c r="T357">
        <v>32.75</v>
      </c>
      <c r="U357">
        <v>32.75</v>
      </c>
      <c r="W357">
        <v>36.49</v>
      </c>
      <c r="X357">
        <v>1</v>
      </c>
      <c r="Y357">
        <v>10</v>
      </c>
      <c r="Z357">
        <v>34.75</v>
      </c>
      <c r="AA357">
        <v>34.75</v>
      </c>
      <c r="AB357">
        <v>6.9880000000000004</v>
      </c>
      <c r="AC357">
        <v>45.11</v>
      </c>
      <c r="AE357">
        <v>16</v>
      </c>
      <c r="AF357" t="s">
        <v>1805</v>
      </c>
      <c r="AG357">
        <v>60</v>
      </c>
      <c r="AK357" t="s">
        <v>102</v>
      </c>
      <c r="AM357" t="s">
        <v>102</v>
      </c>
      <c r="AN357" t="s">
        <v>100</v>
      </c>
      <c r="AO357" t="s">
        <v>102</v>
      </c>
      <c r="AP357" t="s">
        <v>117</v>
      </c>
      <c r="AQ357" t="s">
        <v>104</v>
      </c>
      <c r="AV357" t="s">
        <v>102</v>
      </c>
      <c r="AX357" t="s">
        <v>1806</v>
      </c>
      <c r="AZ357" t="s">
        <v>189</v>
      </c>
      <c r="BC357" t="s">
        <v>275</v>
      </c>
      <c r="BF357" t="s">
        <v>1820</v>
      </c>
      <c r="BG357" t="s">
        <v>102</v>
      </c>
      <c r="BH357" t="s">
        <v>102</v>
      </c>
      <c r="BI357" t="s">
        <v>102</v>
      </c>
      <c r="BK357" t="s">
        <v>191</v>
      </c>
      <c r="BQ357">
        <v>5</v>
      </c>
      <c r="BR357">
        <v>1</v>
      </c>
      <c r="BS357">
        <v>5</v>
      </c>
      <c r="BT357">
        <v>5</v>
      </c>
      <c r="CA357" t="s">
        <v>1821</v>
      </c>
      <c r="CB357" t="s">
        <v>1806</v>
      </c>
      <c r="CL357" t="s">
        <v>100</v>
      </c>
      <c r="CM357" t="s">
        <v>102</v>
      </c>
      <c r="CN357" t="s">
        <v>1822</v>
      </c>
      <c r="CO357" s="1">
        <v>43532</v>
      </c>
      <c r="CP357" s="1">
        <v>43634</v>
      </c>
    </row>
    <row r="358" spans="1:94" x14ac:dyDescent="0.25">
      <c r="A358" t="s">
        <v>1823</v>
      </c>
      <c r="B358" t="str">
        <f xml:space="preserve"> "" &amp; 840254049758</f>
        <v>840254049758</v>
      </c>
      <c r="C358" t="s">
        <v>1824</v>
      </c>
      <c r="D358" t="s">
        <v>1825</v>
      </c>
      <c r="E358" t="s">
        <v>1826</v>
      </c>
      <c r="F358" t="s">
        <v>179</v>
      </c>
      <c r="G358">
        <v>1</v>
      </c>
      <c r="H358">
        <v>1</v>
      </c>
      <c r="I358" t="s">
        <v>99</v>
      </c>
      <c r="J358" s="4">
        <v>150</v>
      </c>
      <c r="K358" s="4">
        <v>450</v>
      </c>
      <c r="O358" t="s">
        <v>100</v>
      </c>
      <c r="P358" s="4">
        <v>319.95</v>
      </c>
      <c r="S358">
        <v>20.5</v>
      </c>
      <c r="U358">
        <v>8</v>
      </c>
      <c r="V358">
        <v>4</v>
      </c>
      <c r="W358">
        <v>7.19</v>
      </c>
      <c r="X358">
        <v>1</v>
      </c>
      <c r="Y358">
        <v>7</v>
      </c>
      <c r="Z358">
        <v>23</v>
      </c>
      <c r="AA358">
        <v>10.5</v>
      </c>
      <c r="AB358">
        <v>0.97799999999999998</v>
      </c>
      <c r="AC358">
        <v>8.8000000000000007</v>
      </c>
      <c r="AE358">
        <v>3</v>
      </c>
      <c r="AF358" t="s">
        <v>1805</v>
      </c>
      <c r="AG358">
        <v>60</v>
      </c>
      <c r="AK358" t="s">
        <v>102</v>
      </c>
      <c r="AM358" t="s">
        <v>102</v>
      </c>
      <c r="AN358" t="s">
        <v>100</v>
      </c>
      <c r="AO358" t="s">
        <v>102</v>
      </c>
      <c r="AP358" t="s">
        <v>117</v>
      </c>
      <c r="AQ358" t="s">
        <v>104</v>
      </c>
      <c r="AV358" t="s">
        <v>102</v>
      </c>
      <c r="AX358" t="s">
        <v>1827</v>
      </c>
      <c r="AZ358" t="s">
        <v>189</v>
      </c>
      <c r="BF358" t="s">
        <v>1828</v>
      </c>
      <c r="BG358" t="s">
        <v>102</v>
      </c>
      <c r="BH358" t="s">
        <v>102</v>
      </c>
      <c r="BI358" t="s">
        <v>102</v>
      </c>
      <c r="BK358" t="s">
        <v>191</v>
      </c>
      <c r="BL358" t="s">
        <v>547</v>
      </c>
      <c r="BM358">
        <v>6.75</v>
      </c>
      <c r="BN358">
        <v>20.5</v>
      </c>
      <c r="CA358" t="s">
        <v>1829</v>
      </c>
      <c r="CB358" t="s">
        <v>1827</v>
      </c>
      <c r="CL358" t="s">
        <v>100</v>
      </c>
      <c r="CM358" t="s">
        <v>102</v>
      </c>
      <c r="CN358" t="s">
        <v>272</v>
      </c>
      <c r="CO358" s="1">
        <v>43532</v>
      </c>
      <c r="CP358" s="1">
        <v>43634</v>
      </c>
    </row>
    <row r="359" spans="1:94" x14ac:dyDescent="0.25">
      <c r="A359" t="s">
        <v>1830</v>
      </c>
      <c r="B359" t="str">
        <f xml:space="preserve"> "" &amp; 840254049734</f>
        <v>840254049734</v>
      </c>
      <c r="C359" t="s">
        <v>911</v>
      </c>
      <c r="D359" t="s">
        <v>1831</v>
      </c>
      <c r="E359" t="s">
        <v>1826</v>
      </c>
      <c r="F359" t="s">
        <v>371</v>
      </c>
      <c r="G359">
        <v>1</v>
      </c>
      <c r="H359">
        <v>1</v>
      </c>
      <c r="I359" t="s">
        <v>99</v>
      </c>
      <c r="J359" s="4">
        <v>340</v>
      </c>
      <c r="K359" s="4">
        <v>1020</v>
      </c>
      <c r="O359" t="s">
        <v>100</v>
      </c>
      <c r="P359" s="4">
        <v>719.95</v>
      </c>
      <c r="S359">
        <v>20.75</v>
      </c>
      <c r="U359">
        <v>14.25</v>
      </c>
      <c r="V359">
        <v>14.25</v>
      </c>
      <c r="W359">
        <v>15.76</v>
      </c>
      <c r="X359">
        <v>1</v>
      </c>
      <c r="Y359">
        <v>23.5</v>
      </c>
      <c r="Z359">
        <v>16.75</v>
      </c>
      <c r="AA359">
        <v>16.75</v>
      </c>
      <c r="AB359">
        <v>3.8159999999999998</v>
      </c>
      <c r="AC359">
        <v>21.01</v>
      </c>
      <c r="AE359">
        <v>4</v>
      </c>
      <c r="AF359" t="s">
        <v>1805</v>
      </c>
      <c r="AG359">
        <v>60</v>
      </c>
      <c r="AK359" t="s">
        <v>102</v>
      </c>
      <c r="AM359" t="s">
        <v>102</v>
      </c>
      <c r="AN359" t="s">
        <v>100</v>
      </c>
      <c r="AO359" t="s">
        <v>102</v>
      </c>
      <c r="AP359" t="s">
        <v>117</v>
      </c>
      <c r="AQ359" t="s">
        <v>104</v>
      </c>
      <c r="AV359" t="s">
        <v>102</v>
      </c>
      <c r="AX359" t="s">
        <v>1827</v>
      </c>
      <c r="AZ359" t="s">
        <v>189</v>
      </c>
      <c r="BF359" t="s">
        <v>1832</v>
      </c>
      <c r="BG359" t="s">
        <v>102</v>
      </c>
      <c r="BH359" t="s">
        <v>102</v>
      </c>
      <c r="BI359" t="s">
        <v>102</v>
      </c>
      <c r="BK359" t="s">
        <v>191</v>
      </c>
      <c r="BQ359">
        <v>5</v>
      </c>
      <c r="BR359">
        <v>1</v>
      </c>
      <c r="BS359">
        <v>5</v>
      </c>
      <c r="BT359">
        <v>5</v>
      </c>
      <c r="CA359" t="s">
        <v>1833</v>
      </c>
      <c r="CB359" t="s">
        <v>1827</v>
      </c>
      <c r="CL359" t="s">
        <v>100</v>
      </c>
      <c r="CM359" t="s">
        <v>100</v>
      </c>
      <c r="CN359" t="s">
        <v>272</v>
      </c>
      <c r="CO359" s="1">
        <v>43532</v>
      </c>
      <c r="CP359" s="1">
        <v>43634</v>
      </c>
    </row>
    <row r="360" spans="1:94" x14ac:dyDescent="0.25">
      <c r="A360" t="s">
        <v>1834</v>
      </c>
      <c r="B360" t="str">
        <f xml:space="preserve"> "" &amp; 840254049741</f>
        <v>840254049741</v>
      </c>
      <c r="C360" t="s">
        <v>1835</v>
      </c>
      <c r="D360" t="s">
        <v>1836</v>
      </c>
      <c r="E360" t="s">
        <v>1826</v>
      </c>
      <c r="F360" t="s">
        <v>710</v>
      </c>
      <c r="G360">
        <v>1</v>
      </c>
      <c r="H360">
        <v>1</v>
      </c>
      <c r="I360" t="s">
        <v>99</v>
      </c>
      <c r="J360" s="4">
        <v>340</v>
      </c>
      <c r="K360" s="4">
        <v>1020</v>
      </c>
      <c r="O360" t="s">
        <v>100</v>
      </c>
      <c r="P360" s="4">
        <v>719.95</v>
      </c>
      <c r="S360">
        <v>7.25</v>
      </c>
      <c r="U360">
        <v>20.25</v>
      </c>
      <c r="V360">
        <v>20.25</v>
      </c>
      <c r="W360">
        <v>20.75</v>
      </c>
      <c r="X360">
        <v>1</v>
      </c>
      <c r="Y360">
        <v>11.25</v>
      </c>
      <c r="Z360">
        <v>22.75</v>
      </c>
      <c r="AA360">
        <v>22.75</v>
      </c>
      <c r="AB360">
        <v>3.37</v>
      </c>
      <c r="AC360">
        <v>26.32</v>
      </c>
      <c r="AE360">
        <v>8</v>
      </c>
      <c r="AF360" t="s">
        <v>1805</v>
      </c>
      <c r="AG360">
        <v>60</v>
      </c>
      <c r="AK360" t="s">
        <v>102</v>
      </c>
      <c r="AM360" t="s">
        <v>102</v>
      </c>
      <c r="AN360" t="s">
        <v>100</v>
      </c>
      <c r="AO360" t="s">
        <v>102</v>
      </c>
      <c r="AP360" t="s">
        <v>117</v>
      </c>
      <c r="AQ360" t="s">
        <v>104</v>
      </c>
      <c r="AV360" t="s">
        <v>102</v>
      </c>
      <c r="AX360" t="s">
        <v>1827</v>
      </c>
      <c r="AZ360" t="s">
        <v>189</v>
      </c>
      <c r="BF360" t="s">
        <v>1837</v>
      </c>
      <c r="BG360" t="s">
        <v>102</v>
      </c>
      <c r="BH360" t="s">
        <v>102</v>
      </c>
      <c r="BI360" t="s">
        <v>102</v>
      </c>
      <c r="BK360" t="s">
        <v>191</v>
      </c>
      <c r="BR360">
        <v>0.75</v>
      </c>
      <c r="BT360">
        <v>6</v>
      </c>
      <c r="CA360" t="s">
        <v>1838</v>
      </c>
      <c r="CB360" t="s">
        <v>1827</v>
      </c>
      <c r="CL360" t="s">
        <v>100</v>
      </c>
      <c r="CM360" t="s">
        <v>100</v>
      </c>
      <c r="CN360" t="s">
        <v>272</v>
      </c>
      <c r="CO360" s="1">
        <v>43532</v>
      </c>
      <c r="CP360" s="1">
        <v>43634</v>
      </c>
    </row>
    <row r="361" spans="1:94" x14ac:dyDescent="0.25">
      <c r="A361" t="s">
        <v>1839</v>
      </c>
      <c r="B361" t="str">
        <f xml:space="preserve"> "" &amp; 840254049765</f>
        <v>840254049765</v>
      </c>
      <c r="C361" t="s">
        <v>691</v>
      </c>
      <c r="D361" t="s">
        <v>1840</v>
      </c>
      <c r="E361" t="s">
        <v>1826</v>
      </c>
      <c r="F361" t="s">
        <v>371</v>
      </c>
      <c r="G361">
        <v>1</v>
      </c>
      <c r="H361">
        <v>1</v>
      </c>
      <c r="I361" t="s">
        <v>99</v>
      </c>
      <c r="J361" s="4">
        <v>405</v>
      </c>
      <c r="K361" s="4">
        <v>1215</v>
      </c>
      <c r="O361" t="s">
        <v>100</v>
      </c>
      <c r="P361" s="4">
        <v>849.95</v>
      </c>
      <c r="S361">
        <v>26.25</v>
      </c>
      <c r="U361">
        <v>18</v>
      </c>
      <c r="V361">
        <v>18</v>
      </c>
      <c r="W361">
        <v>20.7</v>
      </c>
      <c r="X361">
        <v>1</v>
      </c>
      <c r="Y361">
        <v>29.25</v>
      </c>
      <c r="Z361">
        <v>21.5</v>
      </c>
      <c r="AA361">
        <v>21.5</v>
      </c>
      <c r="AB361">
        <v>7.8250000000000002</v>
      </c>
      <c r="AC361">
        <v>29.12</v>
      </c>
      <c r="AE361">
        <v>8</v>
      </c>
      <c r="AF361" t="s">
        <v>1805</v>
      </c>
      <c r="AG361">
        <v>60</v>
      </c>
      <c r="AK361" t="s">
        <v>102</v>
      </c>
      <c r="AM361" t="s">
        <v>102</v>
      </c>
      <c r="AN361" t="s">
        <v>100</v>
      </c>
      <c r="AO361" t="s">
        <v>102</v>
      </c>
      <c r="AP361" t="s">
        <v>117</v>
      </c>
      <c r="AQ361" t="s">
        <v>104</v>
      </c>
      <c r="AV361" t="s">
        <v>102</v>
      </c>
      <c r="AX361" t="s">
        <v>1827</v>
      </c>
      <c r="AZ361" t="s">
        <v>189</v>
      </c>
      <c r="BF361" t="s">
        <v>1841</v>
      </c>
      <c r="BG361" t="s">
        <v>102</v>
      </c>
      <c r="BH361" t="s">
        <v>102</v>
      </c>
      <c r="BI361" t="s">
        <v>102</v>
      </c>
      <c r="BK361" t="s">
        <v>191</v>
      </c>
      <c r="BQ361">
        <v>5</v>
      </c>
      <c r="BR361">
        <v>1</v>
      </c>
      <c r="BS361">
        <v>5</v>
      </c>
      <c r="BT361">
        <v>5</v>
      </c>
      <c r="CA361" t="s">
        <v>1842</v>
      </c>
      <c r="CB361" t="s">
        <v>1827</v>
      </c>
      <c r="CL361" t="s">
        <v>100</v>
      </c>
      <c r="CM361" t="s">
        <v>100</v>
      </c>
      <c r="CN361" t="s">
        <v>272</v>
      </c>
      <c r="CO361" s="1">
        <v>43535</v>
      </c>
      <c r="CP361" s="1">
        <v>43634</v>
      </c>
    </row>
    <row r="362" spans="1:94" x14ac:dyDescent="0.25">
      <c r="A362" t="s">
        <v>1845</v>
      </c>
      <c r="B362" t="str">
        <f xml:space="preserve"> "" &amp; 840254049314</f>
        <v>840254049314</v>
      </c>
      <c r="C362" t="s">
        <v>390</v>
      </c>
      <c r="D362" t="s">
        <v>1846</v>
      </c>
      <c r="E362" t="s">
        <v>1843</v>
      </c>
      <c r="F362" t="s">
        <v>371</v>
      </c>
      <c r="G362">
        <v>1</v>
      </c>
      <c r="H362">
        <v>1</v>
      </c>
      <c r="I362" t="s">
        <v>99</v>
      </c>
      <c r="J362" s="4">
        <v>445</v>
      </c>
      <c r="K362" s="4">
        <v>1335</v>
      </c>
      <c r="O362" t="s">
        <v>100</v>
      </c>
      <c r="P362" s="4">
        <v>949.95</v>
      </c>
      <c r="S362">
        <v>20</v>
      </c>
      <c r="T362">
        <v>24</v>
      </c>
      <c r="U362">
        <v>24</v>
      </c>
      <c r="W362">
        <v>15.32</v>
      </c>
      <c r="X362">
        <v>1</v>
      </c>
      <c r="Y362">
        <v>14.25</v>
      </c>
      <c r="Z362">
        <v>26.5</v>
      </c>
      <c r="AA362">
        <v>26.5</v>
      </c>
      <c r="AB362">
        <v>5.7910000000000004</v>
      </c>
      <c r="AC362">
        <v>22.51</v>
      </c>
      <c r="AE362">
        <v>6</v>
      </c>
      <c r="AF362" t="s">
        <v>1805</v>
      </c>
      <c r="AG362">
        <v>60</v>
      </c>
      <c r="AK362" t="s">
        <v>102</v>
      </c>
      <c r="AM362" t="s">
        <v>102</v>
      </c>
      <c r="AN362" t="s">
        <v>100</v>
      </c>
      <c r="AO362" t="s">
        <v>102</v>
      </c>
      <c r="AP362" t="s">
        <v>117</v>
      </c>
      <c r="AQ362" t="s">
        <v>104</v>
      </c>
      <c r="AV362" t="s">
        <v>102</v>
      </c>
      <c r="AX362" t="s">
        <v>1844</v>
      </c>
      <c r="AZ362" t="s">
        <v>200</v>
      </c>
      <c r="BF362" t="s">
        <v>1847</v>
      </c>
      <c r="BG362" t="s">
        <v>102</v>
      </c>
      <c r="BH362" t="s">
        <v>102</v>
      </c>
      <c r="BI362" t="s">
        <v>102</v>
      </c>
      <c r="BK362" t="s">
        <v>191</v>
      </c>
      <c r="BQ362">
        <v>5</v>
      </c>
      <c r="BR362">
        <v>1</v>
      </c>
      <c r="BS362">
        <v>5</v>
      </c>
      <c r="BT362">
        <v>5</v>
      </c>
      <c r="CA362" t="s">
        <v>1848</v>
      </c>
      <c r="CB362" t="s">
        <v>1844</v>
      </c>
      <c r="CL362" t="s">
        <v>100</v>
      </c>
      <c r="CM362" t="s">
        <v>100</v>
      </c>
      <c r="CN362" t="s">
        <v>193</v>
      </c>
      <c r="CO362" s="1">
        <v>43532</v>
      </c>
      <c r="CP362" s="1">
        <v>43634</v>
      </c>
    </row>
    <row r="363" spans="1:94" x14ac:dyDescent="0.25">
      <c r="A363" t="s">
        <v>1849</v>
      </c>
      <c r="B363" t="str">
        <f xml:space="preserve"> "" &amp; 840254049321</f>
        <v>840254049321</v>
      </c>
      <c r="C363" t="s">
        <v>691</v>
      </c>
      <c r="D363" t="s">
        <v>1850</v>
      </c>
      <c r="E363" t="s">
        <v>1843</v>
      </c>
      <c r="F363" t="s">
        <v>371</v>
      </c>
      <c r="G363">
        <v>1</v>
      </c>
      <c r="H363">
        <v>1</v>
      </c>
      <c r="I363" t="s">
        <v>99</v>
      </c>
      <c r="J363" s="4">
        <v>655</v>
      </c>
      <c r="K363" s="4">
        <v>1965</v>
      </c>
      <c r="O363" t="s">
        <v>100</v>
      </c>
      <c r="P363" s="4">
        <v>1399.95</v>
      </c>
      <c r="S363">
        <v>22</v>
      </c>
      <c r="T363">
        <v>32</v>
      </c>
      <c r="U363">
        <v>32</v>
      </c>
      <c r="W363">
        <v>26.79</v>
      </c>
      <c r="X363">
        <v>1</v>
      </c>
      <c r="Y363">
        <v>14.75</v>
      </c>
      <c r="Z363">
        <v>34.75</v>
      </c>
      <c r="AA363">
        <v>34.75</v>
      </c>
      <c r="AB363">
        <v>10.308</v>
      </c>
      <c r="AC363">
        <v>38.4</v>
      </c>
      <c r="AE363">
        <v>8</v>
      </c>
      <c r="AF363" t="s">
        <v>1805</v>
      </c>
      <c r="AG363">
        <v>60</v>
      </c>
      <c r="AK363" t="s">
        <v>102</v>
      </c>
      <c r="AM363" t="s">
        <v>102</v>
      </c>
      <c r="AN363" t="s">
        <v>100</v>
      </c>
      <c r="AO363" t="s">
        <v>102</v>
      </c>
      <c r="AP363" t="s">
        <v>117</v>
      </c>
      <c r="AQ363" t="s">
        <v>104</v>
      </c>
      <c r="AV363" t="s">
        <v>102</v>
      </c>
      <c r="AX363" t="s">
        <v>1844</v>
      </c>
      <c r="AZ363" t="s">
        <v>200</v>
      </c>
      <c r="BF363" t="s">
        <v>1851</v>
      </c>
      <c r="BG363" t="s">
        <v>102</v>
      </c>
      <c r="BH363" t="s">
        <v>102</v>
      </c>
      <c r="BI363" t="s">
        <v>102</v>
      </c>
      <c r="BK363" t="s">
        <v>191</v>
      </c>
      <c r="BQ363">
        <v>5</v>
      </c>
      <c r="BR363">
        <v>1</v>
      </c>
      <c r="BS363">
        <v>5</v>
      </c>
      <c r="BT363">
        <v>5</v>
      </c>
      <c r="CA363" t="s">
        <v>1852</v>
      </c>
      <c r="CB363" t="s">
        <v>1844</v>
      </c>
      <c r="CL363" t="s">
        <v>100</v>
      </c>
      <c r="CM363" t="s">
        <v>102</v>
      </c>
      <c r="CN363" t="s">
        <v>193</v>
      </c>
      <c r="CO363" s="1">
        <v>43532</v>
      </c>
      <c r="CP363" s="1">
        <v>43634</v>
      </c>
    </row>
    <row r="364" spans="1:94" x14ac:dyDescent="0.25">
      <c r="A364" t="s">
        <v>1853</v>
      </c>
      <c r="B364" t="str">
        <f xml:space="preserve"> "" &amp; 840254049260</f>
        <v>840254049260</v>
      </c>
      <c r="C364" t="s">
        <v>911</v>
      </c>
      <c r="D364" t="s">
        <v>1854</v>
      </c>
      <c r="E364" t="s">
        <v>1855</v>
      </c>
      <c r="F364" t="s">
        <v>371</v>
      </c>
      <c r="G364">
        <v>1</v>
      </c>
      <c r="H364">
        <v>1</v>
      </c>
      <c r="I364" t="s">
        <v>99</v>
      </c>
      <c r="J364" s="4">
        <v>525</v>
      </c>
      <c r="K364" s="4">
        <v>1575</v>
      </c>
      <c r="O364" t="s">
        <v>100</v>
      </c>
      <c r="P364" s="4">
        <v>1199.95</v>
      </c>
      <c r="S364">
        <v>18</v>
      </c>
      <c r="T364">
        <v>14</v>
      </c>
      <c r="U364">
        <v>14</v>
      </c>
      <c r="W364">
        <v>19.73</v>
      </c>
      <c r="X364">
        <v>1</v>
      </c>
      <c r="Y364">
        <v>13.75</v>
      </c>
      <c r="Z364">
        <v>16.75</v>
      </c>
      <c r="AA364">
        <v>14.63</v>
      </c>
      <c r="AB364">
        <v>1.95</v>
      </c>
      <c r="AC364">
        <v>21.83</v>
      </c>
      <c r="AE364">
        <v>4</v>
      </c>
      <c r="AF364" t="s">
        <v>1805</v>
      </c>
      <c r="AG364">
        <v>60</v>
      </c>
      <c r="AK364" t="s">
        <v>102</v>
      </c>
      <c r="AM364" t="s">
        <v>102</v>
      </c>
      <c r="AN364" t="s">
        <v>100</v>
      </c>
      <c r="AO364" t="s">
        <v>102</v>
      </c>
      <c r="AP364" t="s">
        <v>117</v>
      </c>
      <c r="AQ364" t="s">
        <v>104</v>
      </c>
      <c r="AV364" t="s">
        <v>102</v>
      </c>
      <c r="AX364" t="s">
        <v>1856</v>
      </c>
      <c r="AZ364" t="s">
        <v>622</v>
      </c>
      <c r="BC364" t="s">
        <v>1857</v>
      </c>
      <c r="BF364" t="s">
        <v>1858</v>
      </c>
      <c r="BG364" t="s">
        <v>102</v>
      </c>
      <c r="BH364" t="s">
        <v>102</v>
      </c>
      <c r="BI364" t="s">
        <v>102</v>
      </c>
      <c r="BK364" t="s">
        <v>191</v>
      </c>
      <c r="BR364">
        <v>0.75</v>
      </c>
      <c r="BT364">
        <v>5.25</v>
      </c>
      <c r="CA364" t="s">
        <v>1859</v>
      </c>
      <c r="CB364" t="s">
        <v>1856</v>
      </c>
      <c r="CL364" t="s">
        <v>100</v>
      </c>
      <c r="CM364" t="s">
        <v>100</v>
      </c>
      <c r="CN364" t="s">
        <v>1860</v>
      </c>
      <c r="CO364" s="1">
        <v>43531</v>
      </c>
      <c r="CP364" s="1">
        <v>43634</v>
      </c>
    </row>
    <row r="365" spans="1:94" x14ac:dyDescent="0.25">
      <c r="A365" t="s">
        <v>1861</v>
      </c>
      <c r="B365" t="str">
        <f xml:space="preserve"> "" &amp; 840254049253</f>
        <v>840254049253</v>
      </c>
      <c r="C365" t="s">
        <v>1862</v>
      </c>
      <c r="D365" t="s">
        <v>1863</v>
      </c>
      <c r="E365" t="s">
        <v>1855</v>
      </c>
      <c r="F365" t="s">
        <v>371</v>
      </c>
      <c r="G365">
        <v>1</v>
      </c>
      <c r="H365">
        <v>1</v>
      </c>
      <c r="I365" t="s">
        <v>99</v>
      </c>
      <c r="J365" s="4">
        <v>315</v>
      </c>
      <c r="K365" s="4">
        <v>945</v>
      </c>
      <c r="O365" t="s">
        <v>100</v>
      </c>
      <c r="P365" s="4">
        <v>659.95</v>
      </c>
      <c r="S365">
        <v>12.5</v>
      </c>
      <c r="U365">
        <v>16.25</v>
      </c>
      <c r="V365">
        <v>16.25</v>
      </c>
      <c r="W365">
        <v>17.920000000000002</v>
      </c>
      <c r="X365">
        <v>1</v>
      </c>
      <c r="Y365">
        <v>12.13</v>
      </c>
      <c r="Z365">
        <v>16.63</v>
      </c>
      <c r="AA365">
        <v>15.25</v>
      </c>
      <c r="AB365">
        <v>1.78</v>
      </c>
      <c r="AC365">
        <v>19.91</v>
      </c>
      <c r="AE365">
        <v>4</v>
      </c>
      <c r="AF365" t="s">
        <v>1805</v>
      </c>
      <c r="AG365">
        <v>60</v>
      </c>
      <c r="AK365" t="s">
        <v>102</v>
      </c>
      <c r="AM365" t="s">
        <v>102</v>
      </c>
      <c r="AN365" t="s">
        <v>100</v>
      </c>
      <c r="AO365" t="s">
        <v>102</v>
      </c>
      <c r="AP365" t="s">
        <v>117</v>
      </c>
      <c r="AQ365" t="s">
        <v>104</v>
      </c>
      <c r="AV365" t="s">
        <v>102</v>
      </c>
      <c r="AX365" t="s">
        <v>1856</v>
      </c>
      <c r="AZ365" t="s">
        <v>622</v>
      </c>
      <c r="BF365" t="s">
        <v>1864</v>
      </c>
      <c r="BG365" t="s">
        <v>102</v>
      </c>
      <c r="BH365" t="s">
        <v>102</v>
      </c>
      <c r="BI365" t="s">
        <v>102</v>
      </c>
      <c r="BK365" t="s">
        <v>191</v>
      </c>
      <c r="BQ365">
        <v>5.25</v>
      </c>
      <c r="BR365">
        <v>0.75</v>
      </c>
      <c r="BS365">
        <v>5.25</v>
      </c>
      <c r="BT365">
        <v>5.25</v>
      </c>
      <c r="CA365" t="s">
        <v>1865</v>
      </c>
      <c r="CB365" t="s">
        <v>1856</v>
      </c>
      <c r="CL365" t="s">
        <v>100</v>
      </c>
      <c r="CM365" t="s">
        <v>100</v>
      </c>
      <c r="CN365" t="s">
        <v>1860</v>
      </c>
      <c r="CO365" s="1">
        <v>43531</v>
      </c>
      <c r="CP365" s="1">
        <v>43634</v>
      </c>
    </row>
    <row r="366" spans="1:94" x14ac:dyDescent="0.25">
      <c r="A366" t="s">
        <v>1866</v>
      </c>
      <c r="B366" t="str">
        <f xml:space="preserve"> "" &amp; 840254049291</f>
        <v>840254049291</v>
      </c>
      <c r="C366" t="s">
        <v>1867</v>
      </c>
      <c r="D366" t="s">
        <v>1868</v>
      </c>
      <c r="E366" t="s">
        <v>1855</v>
      </c>
      <c r="F366" t="s">
        <v>828</v>
      </c>
      <c r="G366">
        <v>1</v>
      </c>
      <c r="H366">
        <v>1</v>
      </c>
      <c r="I366" t="s">
        <v>99</v>
      </c>
      <c r="J366" s="4">
        <v>750</v>
      </c>
      <c r="K366" s="4">
        <v>2250</v>
      </c>
      <c r="O366" t="s">
        <v>100</v>
      </c>
      <c r="P366" s="4">
        <v>1599.95</v>
      </c>
      <c r="S366">
        <v>14.5</v>
      </c>
      <c r="U366">
        <v>50.25</v>
      </c>
      <c r="V366">
        <v>11</v>
      </c>
      <c r="W366">
        <v>39.44</v>
      </c>
      <c r="X366">
        <v>1</v>
      </c>
      <c r="Y366">
        <v>15</v>
      </c>
      <c r="Z366">
        <v>54.25</v>
      </c>
      <c r="AA366">
        <v>13.75</v>
      </c>
      <c r="AB366">
        <v>6.4749999999999996</v>
      </c>
      <c r="AC366">
        <v>45.88</v>
      </c>
      <c r="AE366">
        <v>8</v>
      </c>
      <c r="AF366" t="s">
        <v>1805</v>
      </c>
      <c r="AG366">
        <v>60</v>
      </c>
      <c r="AK366" t="s">
        <v>102</v>
      </c>
      <c r="AM366" t="s">
        <v>102</v>
      </c>
      <c r="AN366" t="s">
        <v>100</v>
      </c>
      <c r="AO366" t="s">
        <v>102</v>
      </c>
      <c r="AP366" t="s">
        <v>117</v>
      </c>
      <c r="AQ366" t="s">
        <v>104</v>
      </c>
      <c r="AV366" t="s">
        <v>102</v>
      </c>
      <c r="AX366" t="s">
        <v>1856</v>
      </c>
      <c r="AZ366" t="s">
        <v>622</v>
      </c>
      <c r="BF366" t="s">
        <v>1869</v>
      </c>
      <c r="BG366" t="s">
        <v>102</v>
      </c>
      <c r="BH366" t="s">
        <v>102</v>
      </c>
      <c r="BI366" t="s">
        <v>102</v>
      </c>
      <c r="BK366" t="s">
        <v>191</v>
      </c>
      <c r="BR366">
        <v>0.75</v>
      </c>
      <c r="BS366">
        <v>4.5</v>
      </c>
      <c r="BT366">
        <v>14.25</v>
      </c>
      <c r="CA366" t="s">
        <v>1870</v>
      </c>
      <c r="CB366" t="s">
        <v>1856</v>
      </c>
      <c r="CL366" t="s">
        <v>100</v>
      </c>
      <c r="CM366" t="s">
        <v>102</v>
      </c>
      <c r="CN366" t="s">
        <v>1860</v>
      </c>
      <c r="CO366" s="1">
        <v>43531</v>
      </c>
      <c r="CP366" s="1">
        <v>43634</v>
      </c>
    </row>
    <row r="367" spans="1:94" x14ac:dyDescent="0.25">
      <c r="A367" t="s">
        <v>1871</v>
      </c>
      <c r="B367" t="str">
        <f xml:space="preserve"> "" &amp; 840254049277</f>
        <v>840254049277</v>
      </c>
      <c r="C367" t="s">
        <v>390</v>
      </c>
      <c r="D367" t="s">
        <v>1872</v>
      </c>
      <c r="E367" t="s">
        <v>1855</v>
      </c>
      <c r="F367" t="s">
        <v>371</v>
      </c>
      <c r="G367">
        <v>1</v>
      </c>
      <c r="H367">
        <v>1</v>
      </c>
      <c r="I367" t="s">
        <v>99</v>
      </c>
      <c r="J367" s="4">
        <v>650</v>
      </c>
      <c r="K367" s="4">
        <v>1950</v>
      </c>
      <c r="O367" t="s">
        <v>100</v>
      </c>
      <c r="P367" s="4">
        <v>1399.95</v>
      </c>
      <c r="S367">
        <v>24</v>
      </c>
      <c r="U367">
        <v>20.25</v>
      </c>
      <c r="V367">
        <v>20.25</v>
      </c>
      <c r="W367">
        <v>33.4</v>
      </c>
      <c r="X367">
        <v>1</v>
      </c>
      <c r="Y367">
        <v>16.5</v>
      </c>
      <c r="Z367">
        <v>22.75</v>
      </c>
      <c r="AA367">
        <v>20.5</v>
      </c>
      <c r="AB367">
        <v>4.4530000000000003</v>
      </c>
      <c r="AC367">
        <v>37.590000000000003</v>
      </c>
      <c r="AE367">
        <v>6</v>
      </c>
      <c r="AF367" t="s">
        <v>1805</v>
      </c>
      <c r="AG367">
        <v>60</v>
      </c>
      <c r="AK367" t="s">
        <v>102</v>
      </c>
      <c r="AM367" t="s">
        <v>102</v>
      </c>
      <c r="AN367" t="s">
        <v>100</v>
      </c>
      <c r="AO367" t="s">
        <v>102</v>
      </c>
      <c r="AP367" t="s">
        <v>117</v>
      </c>
      <c r="AQ367" t="s">
        <v>104</v>
      </c>
      <c r="AV367" t="s">
        <v>102</v>
      </c>
      <c r="AX367" t="s">
        <v>1856</v>
      </c>
      <c r="AZ367" t="s">
        <v>622</v>
      </c>
      <c r="BF367" t="s">
        <v>1873</v>
      </c>
      <c r="BG367" t="s">
        <v>102</v>
      </c>
      <c r="BH367" t="s">
        <v>102</v>
      </c>
      <c r="BI367" t="s">
        <v>102</v>
      </c>
      <c r="BK367" t="s">
        <v>191</v>
      </c>
      <c r="BR367">
        <v>0.75</v>
      </c>
      <c r="BT367">
        <v>5.25</v>
      </c>
      <c r="CA367" t="s">
        <v>1874</v>
      </c>
      <c r="CB367" t="s">
        <v>1856</v>
      </c>
      <c r="CL367" t="s">
        <v>100</v>
      </c>
      <c r="CM367" t="s">
        <v>102</v>
      </c>
      <c r="CN367" t="s">
        <v>1860</v>
      </c>
      <c r="CO367" s="1">
        <v>43531</v>
      </c>
      <c r="CP367" s="1">
        <v>43634</v>
      </c>
    </row>
    <row r="368" spans="1:94" x14ac:dyDescent="0.25">
      <c r="A368" t="s">
        <v>1875</v>
      </c>
      <c r="B368" t="str">
        <f xml:space="preserve"> "" &amp; 840254049307</f>
        <v>840254049307</v>
      </c>
      <c r="C368" t="s">
        <v>691</v>
      </c>
      <c r="D368" t="s">
        <v>1876</v>
      </c>
      <c r="E368" t="s">
        <v>1855</v>
      </c>
      <c r="F368" t="s">
        <v>371</v>
      </c>
      <c r="G368">
        <v>1</v>
      </c>
      <c r="H368">
        <v>1</v>
      </c>
      <c r="I368" t="s">
        <v>99</v>
      </c>
      <c r="J368" s="4">
        <v>695</v>
      </c>
      <c r="K368" s="4">
        <v>2085</v>
      </c>
      <c r="O368" t="s">
        <v>100</v>
      </c>
      <c r="P368" s="4">
        <v>1499.95</v>
      </c>
      <c r="S368">
        <v>30</v>
      </c>
      <c r="T368">
        <v>18</v>
      </c>
      <c r="U368">
        <v>18</v>
      </c>
      <c r="W368">
        <v>36.82</v>
      </c>
      <c r="X368">
        <v>1</v>
      </c>
      <c r="Y368">
        <v>15.75</v>
      </c>
      <c r="Z368">
        <v>28.75</v>
      </c>
      <c r="AA368">
        <v>18.75</v>
      </c>
      <c r="AB368">
        <v>4.9130000000000003</v>
      </c>
      <c r="AC368">
        <v>41.95</v>
      </c>
      <c r="AE368">
        <v>8</v>
      </c>
      <c r="AF368" t="s">
        <v>1805</v>
      </c>
      <c r="AG368">
        <v>60</v>
      </c>
      <c r="AK368" t="s">
        <v>102</v>
      </c>
      <c r="AM368" t="s">
        <v>102</v>
      </c>
      <c r="AN368" t="s">
        <v>100</v>
      </c>
      <c r="AO368" t="s">
        <v>102</v>
      </c>
      <c r="AP368" t="s">
        <v>117</v>
      </c>
      <c r="AQ368" t="s">
        <v>104</v>
      </c>
      <c r="AV368" t="s">
        <v>102</v>
      </c>
      <c r="AX368" t="s">
        <v>1856</v>
      </c>
      <c r="AZ368" t="s">
        <v>622</v>
      </c>
      <c r="BF368" t="s">
        <v>1877</v>
      </c>
      <c r="BG368" t="s">
        <v>102</v>
      </c>
      <c r="BH368" t="s">
        <v>102</v>
      </c>
      <c r="BI368" t="s">
        <v>102</v>
      </c>
      <c r="BK368" t="s">
        <v>191</v>
      </c>
      <c r="BR368">
        <v>0.75</v>
      </c>
      <c r="BT368">
        <v>5.25</v>
      </c>
      <c r="CA368" t="s">
        <v>1878</v>
      </c>
      <c r="CB368" t="s">
        <v>1856</v>
      </c>
      <c r="CL368" t="s">
        <v>100</v>
      </c>
      <c r="CM368" t="s">
        <v>102</v>
      </c>
      <c r="CN368" t="s">
        <v>1860</v>
      </c>
      <c r="CO368" s="1">
        <v>43531</v>
      </c>
      <c r="CP368" s="1">
        <v>43634</v>
      </c>
    </row>
    <row r="369" spans="1:94" x14ac:dyDescent="0.25">
      <c r="A369" t="s">
        <v>1879</v>
      </c>
      <c r="B369" t="str">
        <f xml:space="preserve"> "" &amp; 840254049550</f>
        <v>840254049550</v>
      </c>
      <c r="C369" t="s">
        <v>1721</v>
      </c>
      <c r="D369" t="s">
        <v>1880</v>
      </c>
      <c r="E369" t="s">
        <v>1881</v>
      </c>
      <c r="F369" t="s">
        <v>179</v>
      </c>
      <c r="G369">
        <v>1</v>
      </c>
      <c r="H369">
        <v>1</v>
      </c>
      <c r="I369" t="s">
        <v>99</v>
      </c>
      <c r="J369" s="4">
        <v>125</v>
      </c>
      <c r="K369" s="4">
        <v>375</v>
      </c>
      <c r="O369" t="s">
        <v>100</v>
      </c>
      <c r="P369" s="4">
        <v>269.95</v>
      </c>
      <c r="S369">
        <v>20.25</v>
      </c>
      <c r="U369">
        <v>12.75</v>
      </c>
      <c r="V369">
        <v>3.75</v>
      </c>
      <c r="W369">
        <v>5.52</v>
      </c>
      <c r="X369">
        <v>1</v>
      </c>
      <c r="Y369">
        <v>13.5</v>
      </c>
      <c r="Z369">
        <v>15.25</v>
      </c>
      <c r="AA369">
        <v>8.5</v>
      </c>
      <c r="AB369">
        <v>1.0129999999999999</v>
      </c>
      <c r="AC369">
        <v>6.84</v>
      </c>
      <c r="AE369">
        <v>1</v>
      </c>
      <c r="AF369" t="s">
        <v>1882</v>
      </c>
      <c r="AG369">
        <v>20</v>
      </c>
      <c r="AK369" t="s">
        <v>100</v>
      </c>
      <c r="AM369" t="s">
        <v>102</v>
      </c>
      <c r="AN369" t="s">
        <v>100</v>
      </c>
      <c r="AO369" t="s">
        <v>102</v>
      </c>
      <c r="AP369" t="s">
        <v>117</v>
      </c>
      <c r="AQ369" t="s">
        <v>104</v>
      </c>
      <c r="AV369" t="s">
        <v>102</v>
      </c>
      <c r="AX369" t="s">
        <v>1801</v>
      </c>
      <c r="AZ369" t="s">
        <v>189</v>
      </c>
      <c r="BB369" t="s">
        <v>1332</v>
      </c>
      <c r="BC369" t="s">
        <v>1883</v>
      </c>
      <c r="BF369" t="s">
        <v>1884</v>
      </c>
      <c r="BG369" t="s">
        <v>102</v>
      </c>
      <c r="BH369" t="s">
        <v>102</v>
      </c>
      <c r="BI369" t="s">
        <v>102</v>
      </c>
      <c r="BK369" t="s">
        <v>191</v>
      </c>
      <c r="BM369">
        <v>12</v>
      </c>
      <c r="BN369">
        <v>8.25</v>
      </c>
      <c r="CA369" t="s">
        <v>1885</v>
      </c>
      <c r="CB369" t="s">
        <v>1801</v>
      </c>
      <c r="CG369">
        <v>3000</v>
      </c>
      <c r="CH369">
        <v>94</v>
      </c>
      <c r="CI369">
        <v>1933.5</v>
      </c>
      <c r="CJ369">
        <v>1297</v>
      </c>
      <c r="CK369">
        <v>30000</v>
      </c>
      <c r="CL369" t="s">
        <v>100</v>
      </c>
      <c r="CM369" t="s">
        <v>102</v>
      </c>
      <c r="CN369" t="s">
        <v>1886</v>
      </c>
      <c r="CO369" s="1">
        <v>43531</v>
      </c>
      <c r="CP369" s="1">
        <v>43634</v>
      </c>
    </row>
    <row r="370" spans="1:94" x14ac:dyDescent="0.25">
      <c r="A370" t="s">
        <v>1887</v>
      </c>
      <c r="B370" t="str">
        <f xml:space="preserve"> "" &amp; 840254049543</f>
        <v>840254049543</v>
      </c>
      <c r="C370" t="s">
        <v>911</v>
      </c>
      <c r="D370" t="s">
        <v>1888</v>
      </c>
      <c r="E370" t="s">
        <v>1881</v>
      </c>
      <c r="F370" t="s">
        <v>371</v>
      </c>
      <c r="G370">
        <v>1</v>
      </c>
      <c r="H370">
        <v>1</v>
      </c>
      <c r="I370" t="s">
        <v>99</v>
      </c>
      <c r="J370" s="4">
        <v>250</v>
      </c>
      <c r="K370" s="4">
        <v>750</v>
      </c>
      <c r="O370" t="s">
        <v>100</v>
      </c>
      <c r="P370" s="4">
        <v>529.95000000000005</v>
      </c>
      <c r="S370">
        <v>28.5</v>
      </c>
      <c r="T370">
        <v>14</v>
      </c>
      <c r="U370">
        <v>14</v>
      </c>
      <c r="W370">
        <v>15.59</v>
      </c>
      <c r="X370">
        <v>1</v>
      </c>
      <c r="Y370">
        <v>22.75</v>
      </c>
      <c r="Z370">
        <v>16.5</v>
      </c>
      <c r="AA370">
        <v>16.5</v>
      </c>
      <c r="AB370">
        <v>3.5840000000000001</v>
      </c>
      <c r="AC370">
        <v>19.510000000000002</v>
      </c>
      <c r="AE370">
        <v>4</v>
      </c>
      <c r="AF370" t="s">
        <v>1805</v>
      </c>
      <c r="AG370">
        <v>60</v>
      </c>
      <c r="AK370" t="s">
        <v>102</v>
      </c>
      <c r="AM370" t="s">
        <v>102</v>
      </c>
      <c r="AN370" t="s">
        <v>100</v>
      </c>
      <c r="AO370" t="s">
        <v>102</v>
      </c>
      <c r="AP370" t="s">
        <v>117</v>
      </c>
      <c r="AQ370" t="s">
        <v>104</v>
      </c>
      <c r="AV370" t="s">
        <v>102</v>
      </c>
      <c r="AX370" t="s">
        <v>1801</v>
      </c>
      <c r="AZ370" t="s">
        <v>189</v>
      </c>
      <c r="BB370" t="s">
        <v>1332</v>
      </c>
      <c r="BC370" t="s">
        <v>443</v>
      </c>
      <c r="BF370" t="s">
        <v>1889</v>
      </c>
      <c r="BG370" t="s">
        <v>102</v>
      </c>
      <c r="BH370" t="s">
        <v>102</v>
      </c>
      <c r="BI370" t="s">
        <v>102</v>
      </c>
      <c r="BK370" t="s">
        <v>191</v>
      </c>
      <c r="BR370">
        <v>0.75</v>
      </c>
      <c r="BT370">
        <v>5.5</v>
      </c>
      <c r="CA370" t="s">
        <v>1890</v>
      </c>
      <c r="CB370" t="s">
        <v>1801</v>
      </c>
      <c r="CL370" t="s">
        <v>100</v>
      </c>
      <c r="CM370" t="s">
        <v>100</v>
      </c>
      <c r="CN370" t="s">
        <v>474</v>
      </c>
      <c r="CO370" s="1">
        <v>43531</v>
      </c>
      <c r="CP370" s="1">
        <v>43634</v>
      </c>
    </row>
    <row r="371" spans="1:94" x14ac:dyDescent="0.25">
      <c r="A371" t="s">
        <v>1891</v>
      </c>
      <c r="B371" t="str">
        <f xml:space="preserve"> "" &amp; 840254049598</f>
        <v>840254049598</v>
      </c>
      <c r="C371" t="s">
        <v>911</v>
      </c>
      <c r="D371" t="s">
        <v>1888</v>
      </c>
      <c r="E371" t="s">
        <v>1892</v>
      </c>
      <c r="F371" t="s">
        <v>371</v>
      </c>
      <c r="G371">
        <v>1</v>
      </c>
      <c r="H371">
        <v>1</v>
      </c>
      <c r="I371" t="s">
        <v>99</v>
      </c>
      <c r="J371" s="4">
        <v>225</v>
      </c>
      <c r="K371" s="4">
        <v>675</v>
      </c>
      <c r="O371" t="s">
        <v>100</v>
      </c>
      <c r="P371" s="4">
        <v>479.95</v>
      </c>
      <c r="S371">
        <v>20</v>
      </c>
      <c r="T371">
        <v>11.25</v>
      </c>
      <c r="U371">
        <v>11.25</v>
      </c>
      <c r="W371">
        <v>13.45</v>
      </c>
      <c r="X371">
        <v>1</v>
      </c>
      <c r="Y371">
        <v>20.25</v>
      </c>
      <c r="Z371">
        <v>13.63</v>
      </c>
      <c r="AA371">
        <v>13.63</v>
      </c>
      <c r="AB371">
        <v>2.177</v>
      </c>
      <c r="AC371">
        <v>16.53</v>
      </c>
      <c r="AE371">
        <v>4</v>
      </c>
      <c r="AF371" t="s">
        <v>1805</v>
      </c>
      <c r="AG371">
        <v>60</v>
      </c>
      <c r="AK371" t="s">
        <v>102</v>
      </c>
      <c r="AM371" t="s">
        <v>102</v>
      </c>
      <c r="AN371" t="s">
        <v>100</v>
      </c>
      <c r="AO371" t="s">
        <v>102</v>
      </c>
      <c r="AP371" t="s">
        <v>117</v>
      </c>
      <c r="AQ371" t="s">
        <v>104</v>
      </c>
      <c r="AV371" t="s">
        <v>102</v>
      </c>
      <c r="AX371" t="s">
        <v>1801</v>
      </c>
      <c r="AZ371" t="s">
        <v>189</v>
      </c>
      <c r="BF371" t="s">
        <v>1893</v>
      </c>
      <c r="BG371" t="s">
        <v>102</v>
      </c>
      <c r="BH371" t="s">
        <v>102</v>
      </c>
      <c r="BI371" t="s">
        <v>102</v>
      </c>
      <c r="BK371" t="s">
        <v>191</v>
      </c>
      <c r="BQ371">
        <v>5.5</v>
      </c>
      <c r="BR371">
        <v>0.75</v>
      </c>
      <c r="BS371">
        <v>5.5</v>
      </c>
      <c r="BT371">
        <v>5.5</v>
      </c>
      <c r="CA371" t="s">
        <v>1894</v>
      </c>
      <c r="CB371" t="s">
        <v>1801</v>
      </c>
      <c r="CL371" t="s">
        <v>100</v>
      </c>
      <c r="CM371" t="s">
        <v>100</v>
      </c>
      <c r="CN371" t="s">
        <v>193</v>
      </c>
      <c r="CO371" s="1">
        <v>43531</v>
      </c>
      <c r="CP371" s="1">
        <v>43634</v>
      </c>
    </row>
    <row r="372" spans="1:94" x14ac:dyDescent="0.25">
      <c r="A372" t="s">
        <v>1895</v>
      </c>
      <c r="B372" t="str">
        <f xml:space="preserve"> "" &amp; 840254049567</f>
        <v>840254049567</v>
      </c>
      <c r="C372" t="s">
        <v>390</v>
      </c>
      <c r="D372" t="s">
        <v>1896</v>
      </c>
      <c r="E372" t="s">
        <v>1881</v>
      </c>
      <c r="F372" t="s">
        <v>371</v>
      </c>
      <c r="G372">
        <v>1</v>
      </c>
      <c r="H372">
        <v>1</v>
      </c>
      <c r="I372" t="s">
        <v>99</v>
      </c>
      <c r="J372" s="4">
        <v>275</v>
      </c>
      <c r="K372" s="4">
        <v>825</v>
      </c>
      <c r="O372" t="s">
        <v>100</v>
      </c>
      <c r="P372" s="4">
        <v>579.95000000000005</v>
      </c>
      <c r="S372">
        <v>20.75</v>
      </c>
      <c r="T372">
        <v>25</v>
      </c>
      <c r="U372">
        <v>25</v>
      </c>
      <c r="W372">
        <v>15.3</v>
      </c>
      <c r="X372">
        <v>1</v>
      </c>
      <c r="Y372">
        <v>13</v>
      </c>
      <c r="Z372">
        <v>27.5</v>
      </c>
      <c r="AA372">
        <v>27.5</v>
      </c>
      <c r="AB372">
        <v>5.6890000000000001</v>
      </c>
      <c r="AC372">
        <v>24.43</v>
      </c>
      <c r="AE372">
        <v>6</v>
      </c>
      <c r="AF372" t="s">
        <v>1805</v>
      </c>
      <c r="AG372">
        <v>60</v>
      </c>
      <c r="AK372" t="s">
        <v>102</v>
      </c>
      <c r="AM372" t="s">
        <v>102</v>
      </c>
      <c r="AN372" t="s">
        <v>100</v>
      </c>
      <c r="AO372" t="s">
        <v>102</v>
      </c>
      <c r="AP372" t="s">
        <v>117</v>
      </c>
      <c r="AQ372" t="s">
        <v>104</v>
      </c>
      <c r="AV372" t="s">
        <v>102</v>
      </c>
      <c r="AX372" t="s">
        <v>1801</v>
      </c>
      <c r="AZ372" t="s">
        <v>189</v>
      </c>
      <c r="BB372" t="s">
        <v>1332</v>
      </c>
      <c r="BC372" t="s">
        <v>443</v>
      </c>
      <c r="BF372" t="s">
        <v>1897</v>
      </c>
      <c r="BG372" t="s">
        <v>102</v>
      </c>
      <c r="BH372" t="s">
        <v>102</v>
      </c>
      <c r="BI372" t="s">
        <v>102</v>
      </c>
      <c r="BK372" t="s">
        <v>191</v>
      </c>
      <c r="BQ372">
        <v>5.5</v>
      </c>
      <c r="BR372">
        <v>0.75</v>
      </c>
      <c r="BS372">
        <v>5.5</v>
      </c>
      <c r="BT372">
        <v>5.5</v>
      </c>
      <c r="CA372" t="s">
        <v>1898</v>
      </c>
      <c r="CB372" t="s">
        <v>1801</v>
      </c>
      <c r="CL372" t="s">
        <v>100</v>
      </c>
      <c r="CM372" t="s">
        <v>100</v>
      </c>
      <c r="CN372" t="s">
        <v>474</v>
      </c>
      <c r="CO372" s="1">
        <v>43531</v>
      </c>
      <c r="CP372" s="1">
        <v>43634</v>
      </c>
    </row>
    <row r="373" spans="1:94" x14ac:dyDescent="0.25">
      <c r="A373" t="s">
        <v>1899</v>
      </c>
      <c r="B373" t="str">
        <f xml:space="preserve"> "" &amp; 840254049604</f>
        <v>840254049604</v>
      </c>
      <c r="C373" t="s">
        <v>691</v>
      </c>
      <c r="D373" t="s">
        <v>1900</v>
      </c>
      <c r="E373" t="s">
        <v>1881</v>
      </c>
      <c r="F373" t="s">
        <v>371</v>
      </c>
      <c r="G373">
        <v>1</v>
      </c>
      <c r="H373">
        <v>1</v>
      </c>
      <c r="I373" t="s">
        <v>99</v>
      </c>
      <c r="J373" s="4">
        <v>425</v>
      </c>
      <c r="K373" s="4">
        <v>1275</v>
      </c>
      <c r="O373" t="s">
        <v>100</v>
      </c>
      <c r="P373" s="4">
        <v>899.95</v>
      </c>
      <c r="S373">
        <v>28.5</v>
      </c>
      <c r="T373">
        <v>16.5</v>
      </c>
      <c r="U373">
        <v>16.5</v>
      </c>
      <c r="W373">
        <v>21.87</v>
      </c>
      <c r="X373">
        <v>1</v>
      </c>
      <c r="Y373">
        <v>29</v>
      </c>
      <c r="Z373">
        <v>19</v>
      </c>
      <c r="AA373">
        <v>19</v>
      </c>
      <c r="AB373">
        <v>6.0579999999999998</v>
      </c>
      <c r="AC373">
        <v>27.62</v>
      </c>
      <c r="AE373">
        <v>8</v>
      </c>
      <c r="AF373" t="s">
        <v>1805</v>
      </c>
      <c r="AG373">
        <v>60</v>
      </c>
      <c r="AK373" t="s">
        <v>102</v>
      </c>
      <c r="AM373" t="s">
        <v>102</v>
      </c>
      <c r="AN373" t="s">
        <v>100</v>
      </c>
      <c r="AO373" t="s">
        <v>102</v>
      </c>
      <c r="AP373" t="s">
        <v>117</v>
      </c>
      <c r="AQ373" t="s">
        <v>104</v>
      </c>
      <c r="AV373" t="s">
        <v>102</v>
      </c>
      <c r="AX373" t="s">
        <v>1801</v>
      </c>
      <c r="AZ373" t="s">
        <v>189</v>
      </c>
      <c r="BF373" t="s">
        <v>1901</v>
      </c>
      <c r="BG373" t="s">
        <v>102</v>
      </c>
      <c r="BH373" t="s">
        <v>102</v>
      </c>
      <c r="BI373" t="s">
        <v>102</v>
      </c>
      <c r="BK373" t="s">
        <v>191</v>
      </c>
      <c r="BQ373">
        <v>5.5</v>
      </c>
      <c r="BR373">
        <v>1</v>
      </c>
      <c r="BS373">
        <v>5.5</v>
      </c>
      <c r="BT373">
        <v>5.5</v>
      </c>
      <c r="CA373" t="s">
        <v>1902</v>
      </c>
      <c r="CB373" t="s">
        <v>1801</v>
      </c>
      <c r="CL373" t="s">
        <v>100</v>
      </c>
      <c r="CM373" t="s">
        <v>100</v>
      </c>
      <c r="CN373" t="s">
        <v>193</v>
      </c>
      <c r="CO373" s="1">
        <v>43531</v>
      </c>
      <c r="CP373" s="1">
        <v>43634</v>
      </c>
    </row>
    <row r="374" spans="1:94" x14ac:dyDescent="0.25">
      <c r="A374" t="s">
        <v>1903</v>
      </c>
      <c r="B374" t="str">
        <f xml:space="preserve"> "" &amp; 840254049574</f>
        <v>840254049574</v>
      </c>
      <c r="C374" t="s">
        <v>691</v>
      </c>
      <c r="D374" t="s">
        <v>1900</v>
      </c>
      <c r="E374" t="s">
        <v>1881</v>
      </c>
      <c r="F374" t="s">
        <v>371</v>
      </c>
      <c r="G374">
        <v>1</v>
      </c>
      <c r="H374">
        <v>1</v>
      </c>
      <c r="I374" t="s">
        <v>99</v>
      </c>
      <c r="J374" s="4">
        <v>395</v>
      </c>
      <c r="K374" s="4">
        <v>1185</v>
      </c>
      <c r="O374" t="s">
        <v>100</v>
      </c>
      <c r="P374" s="4">
        <v>829.95</v>
      </c>
      <c r="S374">
        <v>22</v>
      </c>
      <c r="T374">
        <v>33.5</v>
      </c>
      <c r="U374">
        <v>33.5</v>
      </c>
      <c r="W374">
        <v>20</v>
      </c>
      <c r="X374">
        <v>1</v>
      </c>
      <c r="Y374">
        <v>15</v>
      </c>
      <c r="Z374">
        <v>36.130000000000003</v>
      </c>
      <c r="AA374">
        <v>36.130000000000003</v>
      </c>
      <c r="AB374">
        <v>11.331</v>
      </c>
      <c r="AC374">
        <v>35.67</v>
      </c>
      <c r="AE374">
        <v>8</v>
      </c>
      <c r="AF374" t="s">
        <v>1805</v>
      </c>
      <c r="AG374">
        <v>60</v>
      </c>
      <c r="AK374" t="s">
        <v>102</v>
      </c>
      <c r="AM374" t="s">
        <v>102</v>
      </c>
      <c r="AN374" t="s">
        <v>100</v>
      </c>
      <c r="AO374" t="s">
        <v>102</v>
      </c>
      <c r="AP374" t="s">
        <v>117</v>
      </c>
      <c r="AQ374" t="s">
        <v>104</v>
      </c>
      <c r="AV374" t="s">
        <v>102</v>
      </c>
      <c r="AX374" t="s">
        <v>1801</v>
      </c>
      <c r="AZ374" t="s">
        <v>189</v>
      </c>
      <c r="BB374" t="s">
        <v>1332</v>
      </c>
      <c r="BC374" t="s">
        <v>443</v>
      </c>
      <c r="BF374" t="s">
        <v>1904</v>
      </c>
      <c r="BG374" t="s">
        <v>102</v>
      </c>
      <c r="BH374" t="s">
        <v>102</v>
      </c>
      <c r="BI374" t="s">
        <v>102</v>
      </c>
      <c r="BK374" t="s">
        <v>191</v>
      </c>
      <c r="BQ374">
        <v>5.5</v>
      </c>
      <c r="BR374">
        <v>0.75</v>
      </c>
      <c r="BS374">
        <v>5.5</v>
      </c>
      <c r="BT374">
        <v>5.5</v>
      </c>
      <c r="CA374" t="s">
        <v>1905</v>
      </c>
      <c r="CB374" t="s">
        <v>1801</v>
      </c>
      <c r="CL374" t="s">
        <v>100</v>
      </c>
      <c r="CM374" t="s">
        <v>100</v>
      </c>
      <c r="CN374" t="s">
        <v>474</v>
      </c>
      <c r="CO374" s="1">
        <v>43531</v>
      </c>
      <c r="CP374" s="1">
        <v>43634</v>
      </c>
    </row>
    <row r="375" spans="1:94" x14ac:dyDescent="0.25">
      <c r="A375" t="s">
        <v>1906</v>
      </c>
      <c r="B375" t="str">
        <f xml:space="preserve"> "" &amp; 840254049581</f>
        <v>840254049581</v>
      </c>
      <c r="C375" t="s">
        <v>691</v>
      </c>
      <c r="D375" t="s">
        <v>1900</v>
      </c>
      <c r="E375" t="s">
        <v>1881</v>
      </c>
      <c r="F375" t="s">
        <v>371</v>
      </c>
      <c r="G375">
        <v>1</v>
      </c>
      <c r="H375">
        <v>1</v>
      </c>
      <c r="I375" t="s">
        <v>99</v>
      </c>
      <c r="J375" s="4">
        <v>365</v>
      </c>
      <c r="K375" s="4">
        <v>1095</v>
      </c>
      <c r="O375" t="s">
        <v>100</v>
      </c>
      <c r="P375" s="4">
        <v>769.95</v>
      </c>
      <c r="S375">
        <v>20</v>
      </c>
      <c r="T375">
        <v>30</v>
      </c>
      <c r="U375">
        <v>30</v>
      </c>
      <c r="W375">
        <v>20.5</v>
      </c>
      <c r="X375">
        <v>1</v>
      </c>
      <c r="Y375">
        <v>13.5</v>
      </c>
      <c r="Z375">
        <v>32.75</v>
      </c>
      <c r="AA375">
        <v>32.75</v>
      </c>
      <c r="AB375">
        <v>8.3789999999999996</v>
      </c>
      <c r="AC375">
        <v>30.51</v>
      </c>
      <c r="AE375">
        <v>8</v>
      </c>
      <c r="AF375" t="s">
        <v>1805</v>
      </c>
      <c r="AG375">
        <v>60</v>
      </c>
      <c r="AK375" t="s">
        <v>102</v>
      </c>
      <c r="AM375" t="s">
        <v>102</v>
      </c>
      <c r="AN375" t="s">
        <v>100</v>
      </c>
      <c r="AO375" t="s">
        <v>102</v>
      </c>
      <c r="AP375" t="s">
        <v>117</v>
      </c>
      <c r="AQ375" t="s">
        <v>104</v>
      </c>
      <c r="AV375" t="s">
        <v>102</v>
      </c>
      <c r="AX375" t="s">
        <v>1801</v>
      </c>
      <c r="AZ375" t="s">
        <v>189</v>
      </c>
      <c r="BF375" t="s">
        <v>1907</v>
      </c>
      <c r="BG375" t="s">
        <v>102</v>
      </c>
      <c r="BH375" t="s">
        <v>102</v>
      </c>
      <c r="BI375" t="s">
        <v>102</v>
      </c>
      <c r="BK375" t="s">
        <v>191</v>
      </c>
      <c r="BR375">
        <v>0.75</v>
      </c>
      <c r="BT375">
        <v>5.5</v>
      </c>
      <c r="CA375" t="s">
        <v>1908</v>
      </c>
      <c r="CB375" t="s">
        <v>1801</v>
      </c>
      <c r="CL375" t="s">
        <v>100</v>
      </c>
      <c r="CM375" t="s">
        <v>100</v>
      </c>
      <c r="CN375" t="s">
        <v>193</v>
      </c>
      <c r="CO375" s="1">
        <v>43531</v>
      </c>
      <c r="CP375" s="1">
        <v>43634</v>
      </c>
    </row>
    <row r="376" spans="1:94" x14ac:dyDescent="0.25">
      <c r="A376" t="s">
        <v>1909</v>
      </c>
      <c r="B376" t="str">
        <f xml:space="preserve"> "" &amp; 840254046504</f>
        <v>840254046504</v>
      </c>
      <c r="C376" t="s">
        <v>1054</v>
      </c>
      <c r="D376" t="s">
        <v>1910</v>
      </c>
      <c r="E376" t="s">
        <v>1911</v>
      </c>
      <c r="F376" t="s">
        <v>371</v>
      </c>
      <c r="G376">
        <v>1</v>
      </c>
      <c r="H376">
        <v>1</v>
      </c>
      <c r="I376" t="s">
        <v>99</v>
      </c>
      <c r="J376" s="4">
        <v>135</v>
      </c>
      <c r="K376" s="4">
        <v>405</v>
      </c>
      <c r="O376" t="s">
        <v>100</v>
      </c>
      <c r="P376" s="4">
        <v>284.95</v>
      </c>
      <c r="S376">
        <v>20</v>
      </c>
      <c r="T376">
        <v>10</v>
      </c>
      <c r="U376">
        <v>10</v>
      </c>
      <c r="W376">
        <v>8.49</v>
      </c>
      <c r="X376">
        <v>1</v>
      </c>
      <c r="Y376">
        <v>8</v>
      </c>
      <c r="Z376">
        <v>23.5</v>
      </c>
      <c r="AA376">
        <v>14.5</v>
      </c>
      <c r="AB376">
        <v>1.5780000000000001</v>
      </c>
      <c r="AC376">
        <v>10.8</v>
      </c>
      <c r="AE376">
        <v>1</v>
      </c>
      <c r="AF376" t="s">
        <v>198</v>
      </c>
      <c r="AG376">
        <v>100</v>
      </c>
      <c r="AK376" t="s">
        <v>102</v>
      </c>
      <c r="AM376" t="s">
        <v>102</v>
      </c>
      <c r="AN376" t="s">
        <v>102</v>
      </c>
      <c r="AO376" t="s">
        <v>100</v>
      </c>
      <c r="AP376" t="s">
        <v>117</v>
      </c>
      <c r="AQ376" t="s">
        <v>104</v>
      </c>
      <c r="AV376" t="s">
        <v>102</v>
      </c>
      <c r="AX376" t="s">
        <v>168</v>
      </c>
      <c r="AZ376" t="s">
        <v>189</v>
      </c>
      <c r="BB376" t="s">
        <v>118</v>
      </c>
      <c r="BC376" t="s">
        <v>1912</v>
      </c>
      <c r="BF376" t="s">
        <v>1913</v>
      </c>
      <c r="BG376" t="s">
        <v>102</v>
      </c>
      <c r="BH376" t="s">
        <v>102</v>
      </c>
      <c r="BI376" t="s">
        <v>102</v>
      </c>
      <c r="BK376" t="s">
        <v>107</v>
      </c>
      <c r="BR376">
        <v>0.75</v>
      </c>
      <c r="BT376">
        <v>4.75</v>
      </c>
      <c r="CA376" t="s">
        <v>1914</v>
      </c>
      <c r="CB376" t="s">
        <v>168</v>
      </c>
      <c r="CL376" t="s">
        <v>100</v>
      </c>
      <c r="CM376" t="s">
        <v>100</v>
      </c>
      <c r="CN376" t="s">
        <v>229</v>
      </c>
      <c r="CO376" s="1">
        <v>42443</v>
      </c>
      <c r="CP376" s="1">
        <v>43634</v>
      </c>
    </row>
    <row r="377" spans="1:94" x14ac:dyDescent="0.25">
      <c r="A377" t="s">
        <v>1915</v>
      </c>
      <c r="B377" t="str">
        <f xml:space="preserve"> "" &amp; 840254046511</f>
        <v>840254046511</v>
      </c>
      <c r="C377" t="s">
        <v>1145</v>
      </c>
      <c r="D377" t="s">
        <v>1916</v>
      </c>
      <c r="E377" t="s">
        <v>1911</v>
      </c>
      <c r="F377" t="s">
        <v>98</v>
      </c>
      <c r="G377">
        <v>1</v>
      </c>
      <c r="H377">
        <v>1</v>
      </c>
      <c r="I377" t="s">
        <v>99</v>
      </c>
      <c r="J377" s="4">
        <v>195</v>
      </c>
      <c r="K377" s="4">
        <v>585</v>
      </c>
      <c r="O377" t="s">
        <v>100</v>
      </c>
      <c r="P377" s="4">
        <v>409.95</v>
      </c>
      <c r="S377">
        <v>18</v>
      </c>
      <c r="T377">
        <v>22.75</v>
      </c>
      <c r="U377">
        <v>22.75</v>
      </c>
      <c r="W377">
        <v>9.41</v>
      </c>
      <c r="X377">
        <v>1</v>
      </c>
      <c r="Y377">
        <v>10</v>
      </c>
      <c r="Z377">
        <v>21</v>
      </c>
      <c r="AA377">
        <v>19</v>
      </c>
      <c r="AB377">
        <v>2.3090000000000002</v>
      </c>
      <c r="AC377">
        <v>12.94</v>
      </c>
      <c r="AE377">
        <v>3</v>
      </c>
      <c r="AF377" t="s">
        <v>198</v>
      </c>
      <c r="AG377">
        <v>100</v>
      </c>
      <c r="AK377" t="s">
        <v>102</v>
      </c>
      <c r="AL377">
        <v>3</v>
      </c>
      <c r="AM377" t="s">
        <v>102</v>
      </c>
      <c r="AN377" t="s">
        <v>102</v>
      </c>
      <c r="AO377" t="s">
        <v>100</v>
      </c>
      <c r="AP377" t="s">
        <v>117</v>
      </c>
      <c r="AQ377" t="s">
        <v>104</v>
      </c>
      <c r="AV377" t="s">
        <v>102</v>
      </c>
      <c r="AX377" t="s">
        <v>168</v>
      </c>
      <c r="AZ377" t="s">
        <v>189</v>
      </c>
      <c r="BB377" t="s">
        <v>118</v>
      </c>
      <c r="BC377" t="s">
        <v>1912</v>
      </c>
      <c r="BF377" t="s">
        <v>1917</v>
      </c>
      <c r="BG377" t="s">
        <v>102</v>
      </c>
      <c r="BH377" t="s">
        <v>102</v>
      </c>
      <c r="BI377" t="s">
        <v>102</v>
      </c>
      <c r="BK377" t="s">
        <v>107</v>
      </c>
      <c r="BR377">
        <v>0.34</v>
      </c>
      <c r="BT377">
        <v>4.34</v>
      </c>
      <c r="CA377" t="s">
        <v>1918</v>
      </c>
      <c r="CB377" t="s">
        <v>168</v>
      </c>
      <c r="CL377" t="s">
        <v>100</v>
      </c>
      <c r="CM377" t="s">
        <v>100</v>
      </c>
      <c r="CN377" t="s">
        <v>229</v>
      </c>
      <c r="CO377" s="1">
        <v>42443</v>
      </c>
      <c r="CP377" s="1">
        <v>43634</v>
      </c>
    </row>
    <row r="378" spans="1:94" x14ac:dyDescent="0.25">
      <c r="A378" t="s">
        <v>1919</v>
      </c>
      <c r="B378" t="str">
        <f xml:space="preserve"> "" &amp; 840254046528</f>
        <v>840254046528</v>
      </c>
      <c r="C378" t="s">
        <v>911</v>
      </c>
      <c r="D378" t="s">
        <v>1920</v>
      </c>
      <c r="E378" t="s">
        <v>1911</v>
      </c>
      <c r="F378" t="s">
        <v>371</v>
      </c>
      <c r="G378">
        <v>1</v>
      </c>
      <c r="H378">
        <v>1</v>
      </c>
      <c r="I378" t="s">
        <v>99</v>
      </c>
      <c r="J378" s="4">
        <v>275</v>
      </c>
      <c r="K378" s="4">
        <v>825</v>
      </c>
      <c r="O378" t="s">
        <v>100</v>
      </c>
      <c r="P378" s="4">
        <v>579.95000000000005</v>
      </c>
      <c r="S378">
        <v>26</v>
      </c>
      <c r="T378">
        <v>14.25</v>
      </c>
      <c r="U378">
        <v>14.25</v>
      </c>
      <c r="W378">
        <v>13.38</v>
      </c>
      <c r="X378">
        <v>1</v>
      </c>
      <c r="Y378">
        <v>8.5</v>
      </c>
      <c r="Z378">
        <v>28.5</v>
      </c>
      <c r="AA378">
        <v>15.25</v>
      </c>
      <c r="AB378">
        <v>2.1379999999999999</v>
      </c>
      <c r="AC378">
        <v>18.36</v>
      </c>
      <c r="AE378">
        <v>4</v>
      </c>
      <c r="AF378" t="s">
        <v>198</v>
      </c>
      <c r="AG378">
        <v>100</v>
      </c>
      <c r="AK378" t="s">
        <v>102</v>
      </c>
      <c r="AM378" t="s">
        <v>102</v>
      </c>
      <c r="AN378" t="s">
        <v>102</v>
      </c>
      <c r="AO378" t="s">
        <v>100</v>
      </c>
      <c r="AP378" t="s">
        <v>117</v>
      </c>
      <c r="AQ378" t="s">
        <v>104</v>
      </c>
      <c r="AV378" t="s">
        <v>102</v>
      </c>
      <c r="AX378" t="s">
        <v>168</v>
      </c>
      <c r="AZ378" t="s">
        <v>189</v>
      </c>
      <c r="BB378" t="s">
        <v>118</v>
      </c>
      <c r="BC378" t="s">
        <v>1912</v>
      </c>
      <c r="BF378" t="s">
        <v>1921</v>
      </c>
      <c r="BG378" t="s">
        <v>102</v>
      </c>
      <c r="BH378" t="s">
        <v>102</v>
      </c>
      <c r="BI378" t="s">
        <v>102</v>
      </c>
      <c r="BK378" t="s">
        <v>107</v>
      </c>
      <c r="BR378">
        <v>0.75</v>
      </c>
      <c r="BT378">
        <v>4.75</v>
      </c>
      <c r="CA378" t="s">
        <v>1922</v>
      </c>
      <c r="CB378" t="s">
        <v>168</v>
      </c>
      <c r="CL378" t="s">
        <v>100</v>
      </c>
      <c r="CM378" t="s">
        <v>100</v>
      </c>
      <c r="CN378" t="s">
        <v>229</v>
      </c>
      <c r="CO378" s="1">
        <v>42444</v>
      </c>
      <c r="CP378" s="1">
        <v>43634</v>
      </c>
    </row>
    <row r="379" spans="1:94" x14ac:dyDescent="0.25">
      <c r="A379" t="s">
        <v>1923</v>
      </c>
      <c r="B379" t="str">
        <f xml:space="preserve"> "" &amp; 840254046542</f>
        <v>840254046542</v>
      </c>
      <c r="C379" t="s">
        <v>740</v>
      </c>
      <c r="D379" t="s">
        <v>1924</v>
      </c>
      <c r="E379" t="s">
        <v>1911</v>
      </c>
      <c r="F379" t="s">
        <v>98</v>
      </c>
      <c r="G379">
        <v>1</v>
      </c>
      <c r="H379">
        <v>1</v>
      </c>
      <c r="I379" t="s">
        <v>99</v>
      </c>
      <c r="J379" s="4">
        <v>295</v>
      </c>
      <c r="K379" s="4">
        <v>885</v>
      </c>
      <c r="O379" t="s">
        <v>100</v>
      </c>
      <c r="P379" s="4">
        <v>619.95000000000005</v>
      </c>
      <c r="S379">
        <v>22.25</v>
      </c>
      <c r="T379">
        <v>28.75</v>
      </c>
      <c r="U379">
        <v>28.75</v>
      </c>
      <c r="W379">
        <v>16.89</v>
      </c>
      <c r="X379">
        <v>1</v>
      </c>
      <c r="Y379">
        <v>11.25</v>
      </c>
      <c r="Z379">
        <v>29.5</v>
      </c>
      <c r="AA379">
        <v>26.25</v>
      </c>
      <c r="AB379">
        <v>5.0419999999999998</v>
      </c>
      <c r="AC379">
        <v>23.74</v>
      </c>
      <c r="AE379">
        <v>6</v>
      </c>
      <c r="AF379" t="s">
        <v>198</v>
      </c>
      <c r="AG379">
        <v>100</v>
      </c>
      <c r="AK379" t="s">
        <v>102</v>
      </c>
      <c r="AL379">
        <v>6</v>
      </c>
      <c r="AM379" t="s">
        <v>102</v>
      </c>
      <c r="AN379" t="s">
        <v>102</v>
      </c>
      <c r="AO379" t="s">
        <v>100</v>
      </c>
      <c r="AP379" t="s">
        <v>117</v>
      </c>
      <c r="AQ379" t="s">
        <v>104</v>
      </c>
      <c r="AV379" t="s">
        <v>102</v>
      </c>
      <c r="AX379" t="s">
        <v>168</v>
      </c>
      <c r="AZ379" t="s">
        <v>189</v>
      </c>
      <c r="BB379" t="s">
        <v>118</v>
      </c>
      <c r="BC379" t="s">
        <v>1912</v>
      </c>
      <c r="BF379" t="s">
        <v>1925</v>
      </c>
      <c r="BG379" t="s">
        <v>102</v>
      </c>
      <c r="BH379" t="s">
        <v>102</v>
      </c>
      <c r="BI379" t="s">
        <v>102</v>
      </c>
      <c r="BK379" t="s">
        <v>107</v>
      </c>
      <c r="BR379">
        <v>0.34</v>
      </c>
      <c r="BT379">
        <v>4.34</v>
      </c>
      <c r="CA379" t="s">
        <v>1926</v>
      </c>
      <c r="CB379" t="s">
        <v>168</v>
      </c>
      <c r="CL379" t="s">
        <v>100</v>
      </c>
      <c r="CM379" t="s">
        <v>100</v>
      </c>
      <c r="CN379" t="s">
        <v>229</v>
      </c>
      <c r="CO379" s="1">
        <v>42444</v>
      </c>
      <c r="CP379" s="1">
        <v>43634</v>
      </c>
    </row>
    <row r="380" spans="1:94" x14ac:dyDescent="0.25">
      <c r="A380" t="s">
        <v>1927</v>
      </c>
      <c r="B380" t="str">
        <f xml:space="preserve"> "" &amp; 840254046535</f>
        <v>840254046535</v>
      </c>
      <c r="C380" t="s">
        <v>111</v>
      </c>
      <c r="D380" t="s">
        <v>1928</v>
      </c>
      <c r="E380" t="s">
        <v>1911</v>
      </c>
      <c r="F380" t="s">
        <v>371</v>
      </c>
      <c r="G380">
        <v>1</v>
      </c>
      <c r="H380">
        <v>1</v>
      </c>
      <c r="I380" t="s">
        <v>99</v>
      </c>
      <c r="J380" s="4">
        <v>450</v>
      </c>
      <c r="K380" s="4">
        <v>1350</v>
      </c>
      <c r="O380" t="s">
        <v>100</v>
      </c>
      <c r="P380" s="4">
        <v>944.95</v>
      </c>
      <c r="S380">
        <v>36</v>
      </c>
      <c r="T380">
        <v>18</v>
      </c>
      <c r="U380">
        <v>18</v>
      </c>
      <c r="W380">
        <v>23.77</v>
      </c>
      <c r="X380">
        <v>1</v>
      </c>
      <c r="Y380">
        <v>39</v>
      </c>
      <c r="Z380">
        <v>16</v>
      </c>
      <c r="AA380">
        <v>12</v>
      </c>
      <c r="AB380">
        <v>4.3330000000000002</v>
      </c>
      <c r="AC380">
        <v>31.59</v>
      </c>
      <c r="AE380">
        <v>8</v>
      </c>
      <c r="AF380" t="s">
        <v>198</v>
      </c>
      <c r="AG380">
        <v>100</v>
      </c>
      <c r="AK380" t="s">
        <v>102</v>
      </c>
      <c r="AM380" t="s">
        <v>102</v>
      </c>
      <c r="AN380" t="s">
        <v>102</v>
      </c>
      <c r="AO380" t="s">
        <v>100</v>
      </c>
      <c r="AP380" t="s">
        <v>103</v>
      </c>
      <c r="AQ380" t="s">
        <v>104</v>
      </c>
      <c r="AV380" t="s">
        <v>102</v>
      </c>
      <c r="AX380" t="s">
        <v>168</v>
      </c>
      <c r="AZ380" t="s">
        <v>189</v>
      </c>
      <c r="BB380" t="s">
        <v>118</v>
      </c>
      <c r="BC380" t="s">
        <v>1912</v>
      </c>
      <c r="BF380" t="s">
        <v>1929</v>
      </c>
      <c r="BG380" t="s">
        <v>102</v>
      </c>
      <c r="BH380" t="s">
        <v>102</v>
      </c>
      <c r="BI380" t="s">
        <v>102</v>
      </c>
      <c r="BK380" t="s">
        <v>107</v>
      </c>
      <c r="BR380">
        <v>0.34</v>
      </c>
      <c r="BT380">
        <v>4.34</v>
      </c>
      <c r="CA380" t="s">
        <v>1930</v>
      </c>
      <c r="CB380" t="s">
        <v>168</v>
      </c>
      <c r="CL380" t="s">
        <v>100</v>
      </c>
      <c r="CM380" t="s">
        <v>100</v>
      </c>
      <c r="CN380" t="s">
        <v>229</v>
      </c>
      <c r="CO380" s="1">
        <v>42444</v>
      </c>
      <c r="CP380" s="1">
        <v>43634</v>
      </c>
    </row>
    <row r="381" spans="1:94" x14ac:dyDescent="0.25">
      <c r="A381" t="s">
        <v>1931</v>
      </c>
      <c r="B381" t="str">
        <f xml:space="preserve"> "" &amp; 840254049710</f>
        <v>840254049710</v>
      </c>
      <c r="C381" t="s">
        <v>1932</v>
      </c>
      <c r="D381" t="s">
        <v>1933</v>
      </c>
      <c r="E381" t="s">
        <v>1934</v>
      </c>
      <c r="F381" t="s">
        <v>98</v>
      </c>
      <c r="G381">
        <v>1</v>
      </c>
      <c r="H381">
        <v>1</v>
      </c>
      <c r="I381" t="s">
        <v>99</v>
      </c>
      <c r="J381" s="4">
        <v>355</v>
      </c>
      <c r="K381" s="4">
        <v>1065</v>
      </c>
      <c r="O381" t="s">
        <v>100</v>
      </c>
      <c r="P381" s="4">
        <v>749.95</v>
      </c>
      <c r="S381">
        <v>27.25</v>
      </c>
      <c r="T381">
        <v>26</v>
      </c>
      <c r="U381">
        <v>26</v>
      </c>
      <c r="W381">
        <v>33.92</v>
      </c>
      <c r="X381">
        <v>1</v>
      </c>
      <c r="AB381">
        <v>6.17</v>
      </c>
      <c r="AC381">
        <v>33.92</v>
      </c>
      <c r="AF381" t="s">
        <v>1805</v>
      </c>
      <c r="AG381">
        <v>60</v>
      </c>
      <c r="AK381" t="s">
        <v>102</v>
      </c>
      <c r="AM381" t="s">
        <v>102</v>
      </c>
      <c r="AN381" t="s">
        <v>102</v>
      </c>
      <c r="AO381" t="s">
        <v>102</v>
      </c>
      <c r="AP381" t="s">
        <v>117</v>
      </c>
      <c r="AQ381" t="s">
        <v>104</v>
      </c>
      <c r="AV381" t="s">
        <v>102</v>
      </c>
      <c r="AX381" t="s">
        <v>168</v>
      </c>
      <c r="BC381" t="s">
        <v>1935</v>
      </c>
      <c r="BF381" t="s">
        <v>1936</v>
      </c>
      <c r="BG381" t="s">
        <v>102</v>
      </c>
      <c r="BH381" t="s">
        <v>102</v>
      </c>
      <c r="BI381" t="s">
        <v>102</v>
      </c>
      <c r="CA381" t="s">
        <v>1937</v>
      </c>
      <c r="CB381" t="s">
        <v>168</v>
      </c>
      <c r="CL381" t="s">
        <v>102</v>
      </c>
      <c r="CM381" t="s">
        <v>102</v>
      </c>
      <c r="CO381" s="1">
        <v>43536</v>
      </c>
      <c r="CP381" s="1">
        <v>43634</v>
      </c>
    </row>
    <row r="382" spans="1:94" x14ac:dyDescent="0.25">
      <c r="A382" t="s">
        <v>1938</v>
      </c>
      <c r="B382" t="str">
        <f xml:space="preserve"> "" &amp; 840254049697</f>
        <v>840254049697</v>
      </c>
      <c r="C382" t="s">
        <v>95</v>
      </c>
      <c r="D382" t="s">
        <v>1939</v>
      </c>
      <c r="E382" t="s">
        <v>1934</v>
      </c>
      <c r="F382" t="s">
        <v>98</v>
      </c>
      <c r="G382">
        <v>1</v>
      </c>
      <c r="H382">
        <v>1</v>
      </c>
      <c r="I382" t="s">
        <v>99</v>
      </c>
      <c r="J382" s="4">
        <v>495</v>
      </c>
      <c r="K382" s="4">
        <v>1485</v>
      </c>
      <c r="O382" t="s">
        <v>100</v>
      </c>
      <c r="P382" s="4">
        <v>1049.95</v>
      </c>
      <c r="S382">
        <v>27.25</v>
      </c>
      <c r="U382">
        <v>37.75</v>
      </c>
      <c r="W382">
        <v>51.26</v>
      </c>
      <c r="X382">
        <v>1</v>
      </c>
      <c r="AB382">
        <v>11.72</v>
      </c>
      <c r="AC382">
        <v>51.26</v>
      </c>
      <c r="AF382" t="s">
        <v>1805</v>
      </c>
      <c r="AG382">
        <v>60</v>
      </c>
      <c r="AK382" t="s">
        <v>102</v>
      </c>
      <c r="AM382" t="s">
        <v>102</v>
      </c>
      <c r="AN382" t="s">
        <v>102</v>
      </c>
      <c r="AO382" t="s">
        <v>102</v>
      </c>
      <c r="AP382" t="s">
        <v>117</v>
      </c>
      <c r="AQ382" t="s">
        <v>104</v>
      </c>
      <c r="AV382" t="s">
        <v>102</v>
      </c>
      <c r="AX382" t="s">
        <v>168</v>
      </c>
      <c r="BC382" t="s">
        <v>1935</v>
      </c>
      <c r="BF382" t="s">
        <v>1940</v>
      </c>
      <c r="BG382" t="s">
        <v>102</v>
      </c>
      <c r="BH382" t="s">
        <v>102</v>
      </c>
      <c r="BI382" t="s">
        <v>102</v>
      </c>
      <c r="CA382" t="s">
        <v>1941</v>
      </c>
      <c r="CB382" t="s">
        <v>168</v>
      </c>
      <c r="CL382" t="s">
        <v>102</v>
      </c>
      <c r="CM382" t="s">
        <v>102</v>
      </c>
      <c r="CO382" s="1">
        <v>43536</v>
      </c>
      <c r="CP382" s="1">
        <v>43634</v>
      </c>
    </row>
    <row r="383" spans="1:94" x14ac:dyDescent="0.25">
      <c r="A383" t="s">
        <v>1942</v>
      </c>
      <c r="B383" t="str">
        <f xml:space="preserve"> "" &amp; 840254049727</f>
        <v>840254049727</v>
      </c>
      <c r="C383" t="s">
        <v>833</v>
      </c>
      <c r="D383" t="s">
        <v>1943</v>
      </c>
      <c r="E383" t="s">
        <v>1934</v>
      </c>
      <c r="F383" t="s">
        <v>98</v>
      </c>
      <c r="G383">
        <v>1</v>
      </c>
      <c r="H383">
        <v>1</v>
      </c>
      <c r="I383" t="s">
        <v>99</v>
      </c>
      <c r="J383" s="4">
        <v>440</v>
      </c>
      <c r="K383" s="4">
        <v>1320</v>
      </c>
      <c r="O383" t="s">
        <v>100</v>
      </c>
      <c r="P383" s="4">
        <v>949.95</v>
      </c>
      <c r="S383">
        <v>27.25</v>
      </c>
      <c r="T383">
        <v>32</v>
      </c>
      <c r="U383">
        <v>32</v>
      </c>
      <c r="W383">
        <v>48.66</v>
      </c>
      <c r="X383">
        <v>1</v>
      </c>
      <c r="AB383">
        <v>8.85</v>
      </c>
      <c r="AC383">
        <v>48.66</v>
      </c>
      <c r="AF383" t="s">
        <v>1805</v>
      </c>
      <c r="AG383">
        <v>60</v>
      </c>
      <c r="AK383" t="s">
        <v>102</v>
      </c>
      <c r="AM383" t="s">
        <v>102</v>
      </c>
      <c r="AN383" t="s">
        <v>102</v>
      </c>
      <c r="AO383" t="s">
        <v>102</v>
      </c>
      <c r="AP383" t="s">
        <v>117</v>
      </c>
      <c r="AQ383" t="s">
        <v>104</v>
      </c>
      <c r="AV383" t="s">
        <v>102</v>
      </c>
      <c r="AX383" t="s">
        <v>168</v>
      </c>
      <c r="BC383" t="s">
        <v>1944</v>
      </c>
      <c r="BF383" t="s">
        <v>1945</v>
      </c>
      <c r="BG383" t="s">
        <v>102</v>
      </c>
      <c r="BH383" t="s">
        <v>102</v>
      </c>
      <c r="BI383" t="s">
        <v>102</v>
      </c>
      <c r="CA383" t="s">
        <v>1946</v>
      </c>
      <c r="CB383" t="s">
        <v>168</v>
      </c>
      <c r="CL383" t="s">
        <v>102</v>
      </c>
      <c r="CM383" t="s">
        <v>102</v>
      </c>
      <c r="CO383" s="1">
        <v>43536</v>
      </c>
      <c r="CP383" s="1">
        <v>43634</v>
      </c>
    </row>
    <row r="384" spans="1:94" x14ac:dyDescent="0.25">
      <c r="A384" t="s">
        <v>1947</v>
      </c>
      <c r="B384" t="str">
        <f xml:space="preserve"> "" &amp; 840254047624</f>
        <v>840254047624</v>
      </c>
      <c r="C384" t="s">
        <v>1096</v>
      </c>
      <c r="D384" t="s">
        <v>1948</v>
      </c>
      <c r="E384" t="s">
        <v>1949</v>
      </c>
      <c r="F384" t="s">
        <v>371</v>
      </c>
      <c r="G384">
        <v>1</v>
      </c>
      <c r="H384">
        <v>1</v>
      </c>
      <c r="I384" t="s">
        <v>99</v>
      </c>
      <c r="J384" s="4">
        <v>175</v>
      </c>
      <c r="K384" s="4">
        <v>525</v>
      </c>
      <c r="O384" t="s">
        <v>100</v>
      </c>
      <c r="P384" s="4">
        <v>369.95</v>
      </c>
      <c r="S384">
        <v>18.5</v>
      </c>
      <c r="U384">
        <v>9.5</v>
      </c>
      <c r="W384">
        <v>10.96</v>
      </c>
      <c r="X384">
        <v>1</v>
      </c>
      <c r="Y384">
        <v>10.5</v>
      </c>
      <c r="Z384">
        <v>19.5</v>
      </c>
      <c r="AA384">
        <v>14.5</v>
      </c>
      <c r="AB384">
        <v>1.718</v>
      </c>
      <c r="AC384">
        <v>13.73</v>
      </c>
      <c r="AE384">
        <v>4</v>
      </c>
      <c r="AF384" t="s">
        <v>1678</v>
      </c>
      <c r="AG384">
        <v>60</v>
      </c>
      <c r="AK384" t="s">
        <v>102</v>
      </c>
      <c r="AM384" t="s">
        <v>102</v>
      </c>
      <c r="AN384" t="s">
        <v>100</v>
      </c>
      <c r="AO384" t="s">
        <v>102</v>
      </c>
      <c r="AP384" t="s">
        <v>117</v>
      </c>
      <c r="AQ384" t="s">
        <v>104</v>
      </c>
      <c r="AV384" t="s">
        <v>102</v>
      </c>
      <c r="AX384" t="s">
        <v>1950</v>
      </c>
      <c r="AZ384" t="s">
        <v>622</v>
      </c>
      <c r="BF384" t="s">
        <v>1951</v>
      </c>
      <c r="BG384" t="s">
        <v>102</v>
      </c>
      <c r="BH384" t="s">
        <v>102</v>
      </c>
      <c r="BI384" t="s">
        <v>102</v>
      </c>
      <c r="BK384" t="s">
        <v>107</v>
      </c>
      <c r="BR384">
        <v>1.38</v>
      </c>
      <c r="BS384">
        <v>6</v>
      </c>
      <c r="BT384">
        <v>6</v>
      </c>
      <c r="CA384" t="s">
        <v>1952</v>
      </c>
      <c r="CB384" t="s">
        <v>1950</v>
      </c>
      <c r="CL384" t="s">
        <v>100</v>
      </c>
      <c r="CM384" t="s">
        <v>100</v>
      </c>
      <c r="CN384" t="s">
        <v>193</v>
      </c>
      <c r="CO384" s="1">
        <v>42761</v>
      </c>
      <c r="CP384" s="1">
        <v>43634</v>
      </c>
    </row>
    <row r="385" spans="1:94" x14ac:dyDescent="0.25">
      <c r="A385" t="s">
        <v>1953</v>
      </c>
      <c r="B385" t="str">
        <f xml:space="preserve"> "" &amp; 840254047600</f>
        <v>840254047600</v>
      </c>
      <c r="C385" t="s">
        <v>1954</v>
      </c>
      <c r="D385" t="s">
        <v>1955</v>
      </c>
      <c r="E385" t="s">
        <v>1949</v>
      </c>
      <c r="F385" t="s">
        <v>710</v>
      </c>
      <c r="G385">
        <v>1</v>
      </c>
      <c r="H385">
        <v>1</v>
      </c>
      <c r="I385" t="s">
        <v>99</v>
      </c>
      <c r="J385" s="4">
        <v>235</v>
      </c>
      <c r="K385" s="4">
        <v>705</v>
      </c>
      <c r="O385" t="s">
        <v>100</v>
      </c>
      <c r="P385" s="4">
        <v>493.95</v>
      </c>
      <c r="S385">
        <v>14.5</v>
      </c>
      <c r="U385">
        <v>19</v>
      </c>
      <c r="W385">
        <v>10.91</v>
      </c>
      <c r="X385">
        <v>1</v>
      </c>
      <c r="Y385">
        <v>8.3800000000000008</v>
      </c>
      <c r="Z385">
        <v>21.5</v>
      </c>
      <c r="AA385">
        <v>21.5</v>
      </c>
      <c r="AB385">
        <v>2.242</v>
      </c>
      <c r="AC385">
        <v>15.37</v>
      </c>
      <c r="AE385">
        <v>5</v>
      </c>
      <c r="AF385" t="s">
        <v>1688</v>
      </c>
      <c r="AG385">
        <v>60</v>
      </c>
      <c r="AK385" t="s">
        <v>102</v>
      </c>
      <c r="AM385" t="s">
        <v>102</v>
      </c>
      <c r="AN385" t="s">
        <v>100</v>
      </c>
      <c r="AO385" t="s">
        <v>102</v>
      </c>
      <c r="AP385" t="s">
        <v>117</v>
      </c>
      <c r="AQ385" t="s">
        <v>104</v>
      </c>
      <c r="AV385" t="s">
        <v>102</v>
      </c>
      <c r="AX385" t="s">
        <v>1950</v>
      </c>
      <c r="AZ385" t="s">
        <v>622</v>
      </c>
      <c r="BF385" t="s">
        <v>1956</v>
      </c>
      <c r="BG385" t="s">
        <v>102</v>
      </c>
      <c r="BH385" t="s">
        <v>102</v>
      </c>
      <c r="BI385" t="s">
        <v>102</v>
      </c>
      <c r="BK385" t="s">
        <v>191</v>
      </c>
      <c r="BR385">
        <v>1.38</v>
      </c>
      <c r="BS385">
        <v>6</v>
      </c>
      <c r="BT385">
        <v>6</v>
      </c>
      <c r="CA385" t="s">
        <v>1957</v>
      </c>
      <c r="CB385" t="s">
        <v>1950</v>
      </c>
      <c r="CL385" t="s">
        <v>100</v>
      </c>
      <c r="CM385" t="s">
        <v>102</v>
      </c>
      <c r="CN385" t="s">
        <v>193</v>
      </c>
      <c r="CO385" s="1">
        <v>42761</v>
      </c>
      <c r="CP385" s="1">
        <v>43634</v>
      </c>
    </row>
    <row r="386" spans="1:94" x14ac:dyDescent="0.25">
      <c r="A386" t="s">
        <v>1958</v>
      </c>
      <c r="B386" t="str">
        <f xml:space="preserve"> "" &amp; 840254047617</f>
        <v>840254047617</v>
      </c>
      <c r="C386" t="s">
        <v>1959</v>
      </c>
      <c r="D386" t="s">
        <v>1960</v>
      </c>
      <c r="E386" t="s">
        <v>1949</v>
      </c>
      <c r="F386" t="s">
        <v>371</v>
      </c>
      <c r="G386">
        <v>1</v>
      </c>
      <c r="H386">
        <v>1</v>
      </c>
      <c r="I386" t="s">
        <v>99</v>
      </c>
      <c r="J386" s="4">
        <v>275</v>
      </c>
      <c r="K386" s="4">
        <v>825</v>
      </c>
      <c r="O386" t="s">
        <v>100</v>
      </c>
      <c r="P386" s="4">
        <v>579.95000000000005</v>
      </c>
      <c r="S386">
        <v>23.5</v>
      </c>
      <c r="U386">
        <v>13.25</v>
      </c>
      <c r="W386">
        <v>17.48</v>
      </c>
      <c r="X386">
        <v>1</v>
      </c>
      <c r="Y386">
        <v>14.75</v>
      </c>
      <c r="Z386">
        <v>25</v>
      </c>
      <c r="AA386">
        <v>17.5</v>
      </c>
      <c r="AB386">
        <v>3.734</v>
      </c>
      <c r="AC386">
        <v>22.64</v>
      </c>
      <c r="AE386">
        <v>6</v>
      </c>
      <c r="AF386" t="s">
        <v>1688</v>
      </c>
      <c r="AG386">
        <v>60</v>
      </c>
      <c r="AK386" t="s">
        <v>102</v>
      </c>
      <c r="AM386" t="s">
        <v>102</v>
      </c>
      <c r="AN386" t="s">
        <v>100</v>
      </c>
      <c r="AO386" t="s">
        <v>102</v>
      </c>
      <c r="AP386" t="s">
        <v>117</v>
      </c>
      <c r="AQ386" t="s">
        <v>104</v>
      </c>
      <c r="AV386" t="s">
        <v>102</v>
      </c>
      <c r="AX386" t="s">
        <v>1950</v>
      </c>
      <c r="AZ386" t="s">
        <v>622</v>
      </c>
      <c r="BF386" t="s">
        <v>1961</v>
      </c>
      <c r="BG386" t="s">
        <v>102</v>
      </c>
      <c r="BH386" t="s">
        <v>102</v>
      </c>
      <c r="BI386" t="s">
        <v>102</v>
      </c>
      <c r="BK386" t="s">
        <v>107</v>
      </c>
      <c r="BR386">
        <v>1.38</v>
      </c>
      <c r="BS386">
        <v>6</v>
      </c>
      <c r="BT386">
        <v>6</v>
      </c>
      <c r="CA386" t="s">
        <v>1962</v>
      </c>
      <c r="CB386" t="s">
        <v>1950</v>
      </c>
      <c r="CL386" t="s">
        <v>100</v>
      </c>
      <c r="CM386" t="s">
        <v>100</v>
      </c>
      <c r="CN386" t="s">
        <v>193</v>
      </c>
      <c r="CO386" s="1">
        <v>42761</v>
      </c>
      <c r="CP386" s="1">
        <v>43634</v>
      </c>
    </row>
    <row r="387" spans="1:94" x14ac:dyDescent="0.25">
      <c r="A387" t="s">
        <v>1963</v>
      </c>
      <c r="B387" t="str">
        <f xml:space="preserve"> "" &amp; 840254047570</f>
        <v>840254047570</v>
      </c>
      <c r="C387" t="s">
        <v>1964</v>
      </c>
      <c r="D387" t="s">
        <v>1965</v>
      </c>
      <c r="E387" t="s">
        <v>1949</v>
      </c>
      <c r="F387" t="s">
        <v>98</v>
      </c>
      <c r="G387">
        <v>1</v>
      </c>
      <c r="H387">
        <v>1</v>
      </c>
      <c r="I387" t="s">
        <v>99</v>
      </c>
      <c r="J387" s="4">
        <v>395</v>
      </c>
      <c r="K387" s="4">
        <v>1185</v>
      </c>
      <c r="O387" t="s">
        <v>100</v>
      </c>
      <c r="P387" s="4">
        <v>829.95</v>
      </c>
      <c r="S387">
        <v>25.25</v>
      </c>
      <c r="U387">
        <v>28.5</v>
      </c>
      <c r="W387">
        <v>19.71</v>
      </c>
      <c r="X387">
        <v>1</v>
      </c>
      <c r="Y387">
        <v>7.75</v>
      </c>
      <c r="Z387">
        <v>30</v>
      </c>
      <c r="AA387">
        <v>30</v>
      </c>
      <c r="AB387">
        <v>4.0359999999999996</v>
      </c>
      <c r="AC387">
        <v>25.22</v>
      </c>
      <c r="AE387">
        <v>6</v>
      </c>
      <c r="AF387" t="s">
        <v>1688</v>
      </c>
      <c r="AG387">
        <v>60</v>
      </c>
      <c r="AK387" t="s">
        <v>102</v>
      </c>
      <c r="AM387" t="s">
        <v>102</v>
      </c>
      <c r="AN387" t="s">
        <v>100</v>
      </c>
      <c r="AO387" t="s">
        <v>102</v>
      </c>
      <c r="AP387" t="s">
        <v>117</v>
      </c>
      <c r="AQ387" t="s">
        <v>104</v>
      </c>
      <c r="AV387" t="s">
        <v>102</v>
      </c>
      <c r="AX387" t="s">
        <v>1950</v>
      </c>
      <c r="AZ387" t="s">
        <v>622</v>
      </c>
      <c r="BF387" t="s">
        <v>1966</v>
      </c>
      <c r="BG387" t="s">
        <v>102</v>
      </c>
      <c r="BH387" t="s">
        <v>102</v>
      </c>
      <c r="BI387" t="s">
        <v>102</v>
      </c>
      <c r="BK387" t="s">
        <v>107</v>
      </c>
      <c r="BR387">
        <v>1.38</v>
      </c>
      <c r="BS387">
        <v>6</v>
      </c>
      <c r="BT387">
        <v>6</v>
      </c>
      <c r="CA387" t="s">
        <v>1967</v>
      </c>
      <c r="CB387" t="s">
        <v>1950</v>
      </c>
      <c r="CL387" t="s">
        <v>100</v>
      </c>
      <c r="CM387" t="s">
        <v>100</v>
      </c>
      <c r="CN387" t="s">
        <v>193</v>
      </c>
      <c r="CO387" s="1">
        <v>42761</v>
      </c>
      <c r="CP387" s="1">
        <v>43634</v>
      </c>
    </row>
    <row r="388" spans="1:94" x14ac:dyDescent="0.25">
      <c r="A388" t="s">
        <v>1968</v>
      </c>
      <c r="B388" t="str">
        <f xml:space="preserve"> "" &amp; 840254047587</f>
        <v>840254047587</v>
      </c>
      <c r="C388" t="s">
        <v>691</v>
      </c>
      <c r="D388" t="s">
        <v>1969</v>
      </c>
      <c r="E388" t="s">
        <v>1949</v>
      </c>
      <c r="F388" t="s">
        <v>371</v>
      </c>
      <c r="G388">
        <v>1</v>
      </c>
      <c r="H388">
        <v>1</v>
      </c>
      <c r="I388" t="s">
        <v>99</v>
      </c>
      <c r="J388" s="4">
        <v>395</v>
      </c>
      <c r="K388" s="4">
        <v>1185</v>
      </c>
      <c r="O388" t="s">
        <v>100</v>
      </c>
      <c r="P388" s="4">
        <v>829.95</v>
      </c>
      <c r="S388">
        <v>31.5</v>
      </c>
      <c r="U388">
        <v>17</v>
      </c>
      <c r="W388">
        <v>25.97</v>
      </c>
      <c r="X388">
        <v>1</v>
      </c>
      <c r="Y388">
        <v>17.5</v>
      </c>
      <c r="Z388">
        <v>30.75</v>
      </c>
      <c r="AA388">
        <v>21.5</v>
      </c>
      <c r="AB388">
        <v>6.6950000000000003</v>
      </c>
      <c r="AC388">
        <v>32.409999999999997</v>
      </c>
      <c r="AE388">
        <v>8</v>
      </c>
      <c r="AF388" t="s">
        <v>1678</v>
      </c>
      <c r="AG388">
        <v>60</v>
      </c>
      <c r="AK388" t="s">
        <v>102</v>
      </c>
      <c r="AM388" t="s">
        <v>102</v>
      </c>
      <c r="AN388" t="s">
        <v>100</v>
      </c>
      <c r="AO388" t="s">
        <v>102</v>
      </c>
      <c r="AP388" t="s">
        <v>117</v>
      </c>
      <c r="AQ388" t="s">
        <v>104</v>
      </c>
      <c r="AV388" t="s">
        <v>102</v>
      </c>
      <c r="AX388" t="s">
        <v>1950</v>
      </c>
      <c r="AZ388" t="s">
        <v>622</v>
      </c>
      <c r="BF388" t="s">
        <v>1970</v>
      </c>
      <c r="BG388" t="s">
        <v>102</v>
      </c>
      <c r="BH388" t="s">
        <v>102</v>
      </c>
      <c r="BI388" t="s">
        <v>102</v>
      </c>
      <c r="BK388" t="s">
        <v>107</v>
      </c>
      <c r="BR388">
        <v>1.38</v>
      </c>
      <c r="BS388">
        <v>6</v>
      </c>
      <c r="BT388">
        <v>6</v>
      </c>
      <c r="CA388" t="s">
        <v>1971</v>
      </c>
      <c r="CB388" t="s">
        <v>1950</v>
      </c>
      <c r="CL388" t="s">
        <v>100</v>
      </c>
      <c r="CM388" t="s">
        <v>102</v>
      </c>
      <c r="CN388" t="s">
        <v>193</v>
      </c>
      <c r="CO388" s="1">
        <v>42761</v>
      </c>
      <c r="CP388" s="1">
        <v>43634</v>
      </c>
    </row>
    <row r="389" spans="1:94" x14ac:dyDescent="0.25">
      <c r="A389" t="s">
        <v>1972</v>
      </c>
      <c r="B389" t="str">
        <f xml:space="preserve"> "" &amp; 840254047594</f>
        <v>840254047594</v>
      </c>
      <c r="C389" t="s">
        <v>111</v>
      </c>
      <c r="D389" t="s">
        <v>1973</v>
      </c>
      <c r="E389" t="s">
        <v>1949</v>
      </c>
      <c r="F389" t="s">
        <v>98</v>
      </c>
      <c r="G389">
        <v>1</v>
      </c>
      <c r="H389">
        <v>1</v>
      </c>
      <c r="I389" t="s">
        <v>99</v>
      </c>
      <c r="J389" s="4">
        <v>550</v>
      </c>
      <c r="K389" s="4">
        <v>1650</v>
      </c>
      <c r="O389" t="s">
        <v>100</v>
      </c>
      <c r="P389" s="4">
        <v>1154.95</v>
      </c>
      <c r="S389">
        <v>29.5</v>
      </c>
      <c r="U389">
        <v>34</v>
      </c>
      <c r="W389">
        <v>26.48</v>
      </c>
      <c r="X389">
        <v>1</v>
      </c>
      <c r="Y389">
        <v>8.25</v>
      </c>
      <c r="Z389">
        <v>35.5</v>
      </c>
      <c r="AA389">
        <v>35.5</v>
      </c>
      <c r="AB389">
        <v>6.0170000000000003</v>
      </c>
      <c r="AC389">
        <v>36.880000000000003</v>
      </c>
      <c r="AE389">
        <v>8</v>
      </c>
      <c r="AF389" t="s">
        <v>1688</v>
      </c>
      <c r="AG389">
        <v>60</v>
      </c>
      <c r="AK389" t="s">
        <v>102</v>
      </c>
      <c r="AM389" t="s">
        <v>102</v>
      </c>
      <c r="AN389" t="s">
        <v>100</v>
      </c>
      <c r="AO389" t="s">
        <v>102</v>
      </c>
      <c r="AP389" t="s">
        <v>103</v>
      </c>
      <c r="AQ389" t="s">
        <v>104</v>
      </c>
      <c r="AV389" t="s">
        <v>102</v>
      </c>
      <c r="AX389" t="s">
        <v>1950</v>
      </c>
      <c r="AZ389" t="s">
        <v>189</v>
      </c>
      <c r="BF389" t="s">
        <v>1974</v>
      </c>
      <c r="BG389" t="s">
        <v>102</v>
      </c>
      <c r="BH389" t="s">
        <v>102</v>
      </c>
      <c r="BI389" t="s">
        <v>102</v>
      </c>
      <c r="BK389" t="s">
        <v>107</v>
      </c>
      <c r="BR389">
        <v>1.38</v>
      </c>
      <c r="BS389">
        <v>6</v>
      </c>
      <c r="BT389">
        <v>6</v>
      </c>
      <c r="CA389" t="s">
        <v>1975</v>
      </c>
      <c r="CB389" t="s">
        <v>1950</v>
      </c>
      <c r="CL389" t="s">
        <v>100</v>
      </c>
      <c r="CM389" t="s">
        <v>102</v>
      </c>
      <c r="CN389" t="s">
        <v>193</v>
      </c>
      <c r="CO389" s="1">
        <v>42761</v>
      </c>
      <c r="CP389" s="1">
        <v>43634</v>
      </c>
    </row>
    <row r="390" spans="1:94" x14ac:dyDescent="0.25">
      <c r="A390" t="s">
        <v>1976</v>
      </c>
      <c r="B390" t="str">
        <f xml:space="preserve"> "" &amp; 840254049673</f>
        <v>840254049673</v>
      </c>
      <c r="C390" t="s">
        <v>211</v>
      </c>
      <c r="D390" t="s">
        <v>1977</v>
      </c>
      <c r="E390" t="s">
        <v>1978</v>
      </c>
      <c r="F390" t="s">
        <v>186</v>
      </c>
      <c r="G390">
        <v>1</v>
      </c>
      <c r="H390">
        <v>1</v>
      </c>
      <c r="I390" t="s">
        <v>99</v>
      </c>
      <c r="J390" s="4">
        <v>89</v>
      </c>
      <c r="K390" s="4">
        <v>267</v>
      </c>
      <c r="O390" t="s">
        <v>100</v>
      </c>
      <c r="P390" s="4">
        <v>189.95</v>
      </c>
      <c r="S390">
        <v>7.75</v>
      </c>
      <c r="U390">
        <v>20</v>
      </c>
      <c r="V390">
        <v>5.5</v>
      </c>
      <c r="W390">
        <v>5.07</v>
      </c>
      <c r="X390">
        <v>1</v>
      </c>
      <c r="Y390">
        <v>10.75</v>
      </c>
      <c r="Z390">
        <v>21.75</v>
      </c>
      <c r="AA390">
        <v>7.88</v>
      </c>
      <c r="AB390">
        <v>1.0660000000000001</v>
      </c>
      <c r="AC390">
        <v>7.32</v>
      </c>
      <c r="AE390">
        <v>3</v>
      </c>
      <c r="AF390" t="s">
        <v>1805</v>
      </c>
      <c r="AG390">
        <v>60</v>
      </c>
      <c r="AK390" t="s">
        <v>102</v>
      </c>
      <c r="AM390" t="s">
        <v>102</v>
      </c>
      <c r="AN390" t="s">
        <v>100</v>
      </c>
      <c r="AO390" t="s">
        <v>102</v>
      </c>
      <c r="AP390" t="s">
        <v>117</v>
      </c>
      <c r="AQ390" t="s">
        <v>104</v>
      </c>
      <c r="AV390" t="s">
        <v>102</v>
      </c>
      <c r="AX390" t="s">
        <v>1979</v>
      </c>
      <c r="AZ390" t="s">
        <v>622</v>
      </c>
      <c r="BC390" t="s">
        <v>1980</v>
      </c>
      <c r="BF390" t="s">
        <v>1981</v>
      </c>
      <c r="BG390" t="s">
        <v>102</v>
      </c>
      <c r="BH390" t="s">
        <v>102</v>
      </c>
      <c r="BI390" t="s">
        <v>102</v>
      </c>
      <c r="BK390" t="s">
        <v>191</v>
      </c>
      <c r="BM390">
        <v>10</v>
      </c>
      <c r="BN390">
        <v>5</v>
      </c>
      <c r="CA390" t="s">
        <v>1982</v>
      </c>
      <c r="CB390" t="s">
        <v>1979</v>
      </c>
      <c r="CL390" t="s">
        <v>100</v>
      </c>
      <c r="CM390" t="s">
        <v>102</v>
      </c>
      <c r="CN390" t="s">
        <v>229</v>
      </c>
      <c r="CO390" s="1">
        <v>43532</v>
      </c>
      <c r="CP390" s="1">
        <v>43634</v>
      </c>
    </row>
    <row r="391" spans="1:94" x14ac:dyDescent="0.25">
      <c r="A391" t="s">
        <v>1983</v>
      </c>
      <c r="B391" t="str">
        <f xml:space="preserve"> "" &amp; 840254049642</f>
        <v>840254049642</v>
      </c>
      <c r="C391" t="s">
        <v>178</v>
      </c>
      <c r="D391" t="s">
        <v>1984</v>
      </c>
      <c r="E391" t="s">
        <v>1978</v>
      </c>
      <c r="F391" t="s">
        <v>179</v>
      </c>
      <c r="G391">
        <v>1</v>
      </c>
      <c r="H391">
        <v>1</v>
      </c>
      <c r="I391" t="s">
        <v>99</v>
      </c>
      <c r="J391" s="4">
        <v>80</v>
      </c>
      <c r="K391" s="4">
        <v>240</v>
      </c>
      <c r="O391" t="s">
        <v>100</v>
      </c>
      <c r="P391" s="4">
        <v>169.95</v>
      </c>
      <c r="S391">
        <v>17</v>
      </c>
      <c r="U391">
        <v>8.5</v>
      </c>
      <c r="V391">
        <v>4</v>
      </c>
      <c r="W391">
        <v>7.5</v>
      </c>
      <c r="X391">
        <v>1</v>
      </c>
      <c r="Y391">
        <v>6.25</v>
      </c>
      <c r="Z391">
        <v>19.5</v>
      </c>
      <c r="AA391">
        <v>11</v>
      </c>
      <c r="AB391">
        <v>0.77600000000000002</v>
      </c>
      <c r="AC391">
        <v>8.9700000000000006</v>
      </c>
      <c r="AE391">
        <v>2</v>
      </c>
      <c r="AF391" t="s">
        <v>1805</v>
      </c>
      <c r="AG391">
        <v>60</v>
      </c>
      <c r="AK391" t="s">
        <v>102</v>
      </c>
      <c r="AM391" t="s">
        <v>102</v>
      </c>
      <c r="AN391" t="s">
        <v>100</v>
      </c>
      <c r="AO391" t="s">
        <v>102</v>
      </c>
      <c r="AP391" t="s">
        <v>117</v>
      </c>
      <c r="AQ391" t="s">
        <v>104</v>
      </c>
      <c r="AV391" t="s">
        <v>102</v>
      </c>
      <c r="AX391" t="s">
        <v>1979</v>
      </c>
      <c r="AZ391" t="s">
        <v>622</v>
      </c>
      <c r="BF391" t="s">
        <v>1985</v>
      </c>
      <c r="BG391" t="s">
        <v>102</v>
      </c>
      <c r="BH391" t="s">
        <v>102</v>
      </c>
      <c r="BI391" t="s">
        <v>102</v>
      </c>
      <c r="BK391" t="s">
        <v>191</v>
      </c>
      <c r="BM391">
        <v>17</v>
      </c>
      <c r="BN391">
        <v>8.75</v>
      </c>
      <c r="CA391" t="s">
        <v>1986</v>
      </c>
      <c r="CB391" t="s">
        <v>1979</v>
      </c>
      <c r="CL391" t="s">
        <v>100</v>
      </c>
      <c r="CM391" t="s">
        <v>102</v>
      </c>
      <c r="CN391" t="s">
        <v>193</v>
      </c>
      <c r="CO391" s="1">
        <v>43532</v>
      </c>
      <c r="CP391" s="1">
        <v>43634</v>
      </c>
    </row>
    <row r="392" spans="1:94" x14ac:dyDescent="0.25">
      <c r="A392" t="s">
        <v>1987</v>
      </c>
      <c r="B392" t="str">
        <f xml:space="preserve"> "" &amp; 840254049635</f>
        <v>840254049635</v>
      </c>
      <c r="C392" t="s">
        <v>999</v>
      </c>
      <c r="D392" t="s">
        <v>1988</v>
      </c>
      <c r="E392" t="s">
        <v>1978</v>
      </c>
      <c r="F392" t="s">
        <v>710</v>
      </c>
      <c r="G392">
        <v>1</v>
      </c>
      <c r="H392">
        <v>1</v>
      </c>
      <c r="I392" t="s">
        <v>99</v>
      </c>
      <c r="J392" s="4">
        <v>120</v>
      </c>
      <c r="K392" s="4">
        <v>360</v>
      </c>
      <c r="O392" t="s">
        <v>100</v>
      </c>
      <c r="P392" s="4">
        <v>249.95</v>
      </c>
      <c r="S392">
        <v>13.25</v>
      </c>
      <c r="T392">
        <v>16.5</v>
      </c>
      <c r="U392">
        <v>16.5</v>
      </c>
      <c r="W392">
        <v>5.95</v>
      </c>
      <c r="X392">
        <v>1</v>
      </c>
      <c r="Y392">
        <v>11</v>
      </c>
      <c r="Z392">
        <v>19</v>
      </c>
      <c r="AA392">
        <v>19</v>
      </c>
      <c r="AB392">
        <v>2.298</v>
      </c>
      <c r="AC392">
        <v>9.44</v>
      </c>
      <c r="AE392">
        <v>4</v>
      </c>
      <c r="AF392" t="s">
        <v>1805</v>
      </c>
      <c r="AG392">
        <v>60</v>
      </c>
      <c r="AK392" t="s">
        <v>102</v>
      </c>
      <c r="AM392" t="s">
        <v>102</v>
      </c>
      <c r="AN392" t="s">
        <v>100</v>
      </c>
      <c r="AO392" t="s">
        <v>102</v>
      </c>
      <c r="AP392" t="s">
        <v>117</v>
      </c>
      <c r="AQ392" t="s">
        <v>104</v>
      </c>
      <c r="AV392" t="s">
        <v>102</v>
      </c>
      <c r="AX392" t="s">
        <v>1979</v>
      </c>
      <c r="AZ392" t="s">
        <v>189</v>
      </c>
      <c r="BF392" t="s">
        <v>1989</v>
      </c>
      <c r="BG392" t="s">
        <v>102</v>
      </c>
      <c r="BH392" t="s">
        <v>102</v>
      </c>
      <c r="BI392" t="s">
        <v>102</v>
      </c>
      <c r="BK392" t="s">
        <v>191</v>
      </c>
      <c r="BR392">
        <v>0.75</v>
      </c>
      <c r="BT392">
        <v>5</v>
      </c>
      <c r="CA392" t="s">
        <v>1990</v>
      </c>
      <c r="CB392" t="s">
        <v>1979</v>
      </c>
      <c r="CL392" t="s">
        <v>100</v>
      </c>
      <c r="CM392" t="s">
        <v>100</v>
      </c>
      <c r="CN392" t="s">
        <v>1991</v>
      </c>
      <c r="CO392" s="1">
        <v>43536</v>
      </c>
      <c r="CP392" s="1">
        <v>43634</v>
      </c>
    </row>
    <row r="393" spans="1:94" x14ac:dyDescent="0.25">
      <c r="A393" t="s">
        <v>1992</v>
      </c>
      <c r="B393" t="str">
        <f xml:space="preserve"> "" &amp; 840254049628</f>
        <v>840254049628</v>
      </c>
      <c r="C393" t="s">
        <v>911</v>
      </c>
      <c r="D393" t="s">
        <v>1993</v>
      </c>
      <c r="E393" t="s">
        <v>1978</v>
      </c>
      <c r="F393" t="s">
        <v>371</v>
      </c>
      <c r="G393">
        <v>1</v>
      </c>
      <c r="H393">
        <v>1</v>
      </c>
      <c r="I393" t="s">
        <v>99</v>
      </c>
      <c r="J393" s="4">
        <v>175</v>
      </c>
      <c r="K393" s="4">
        <v>525</v>
      </c>
      <c r="O393" t="s">
        <v>100</v>
      </c>
      <c r="P393" s="4">
        <v>369.95</v>
      </c>
      <c r="S393">
        <v>16</v>
      </c>
      <c r="T393">
        <v>14.25</v>
      </c>
      <c r="U393">
        <v>14.25</v>
      </c>
      <c r="W393">
        <v>8.31</v>
      </c>
      <c r="X393">
        <v>1</v>
      </c>
      <c r="Y393">
        <v>17</v>
      </c>
      <c r="Z393">
        <v>16.75</v>
      </c>
      <c r="AA393">
        <v>16.75</v>
      </c>
      <c r="AB393">
        <v>2.76</v>
      </c>
      <c r="AC393">
        <v>12.02</v>
      </c>
      <c r="AE393">
        <v>4</v>
      </c>
      <c r="AF393" t="s">
        <v>1805</v>
      </c>
      <c r="AG393">
        <v>60</v>
      </c>
      <c r="AK393" t="s">
        <v>102</v>
      </c>
      <c r="AM393" t="s">
        <v>102</v>
      </c>
      <c r="AN393" t="s">
        <v>100</v>
      </c>
      <c r="AO393" t="s">
        <v>102</v>
      </c>
      <c r="AP393" t="s">
        <v>117</v>
      </c>
      <c r="AQ393" t="s">
        <v>104</v>
      </c>
      <c r="AV393" t="s">
        <v>102</v>
      </c>
      <c r="AX393" t="s">
        <v>1979</v>
      </c>
      <c r="AZ393" t="s">
        <v>189</v>
      </c>
      <c r="BF393" t="s">
        <v>1994</v>
      </c>
      <c r="BG393" t="s">
        <v>102</v>
      </c>
      <c r="BH393" t="s">
        <v>102</v>
      </c>
      <c r="BI393" t="s">
        <v>102</v>
      </c>
      <c r="BK393" t="s">
        <v>191</v>
      </c>
      <c r="BR393">
        <v>1</v>
      </c>
      <c r="BT393">
        <v>5</v>
      </c>
      <c r="CA393" t="s">
        <v>1995</v>
      </c>
      <c r="CB393" t="s">
        <v>1979</v>
      </c>
      <c r="CL393" t="s">
        <v>100</v>
      </c>
      <c r="CM393" t="s">
        <v>100</v>
      </c>
      <c r="CN393" t="s">
        <v>193</v>
      </c>
      <c r="CO393" s="1">
        <v>43536</v>
      </c>
      <c r="CP393" s="1">
        <v>43634</v>
      </c>
    </row>
    <row r="394" spans="1:94" x14ac:dyDescent="0.25">
      <c r="A394" t="s">
        <v>1996</v>
      </c>
      <c r="B394" t="str">
        <f xml:space="preserve"> "" &amp; 840254049666</f>
        <v>840254049666</v>
      </c>
      <c r="C394" t="s">
        <v>400</v>
      </c>
      <c r="D394" t="s">
        <v>1997</v>
      </c>
      <c r="E394" t="s">
        <v>1978</v>
      </c>
      <c r="F394" t="s">
        <v>371</v>
      </c>
      <c r="G394">
        <v>1</v>
      </c>
      <c r="H394">
        <v>1</v>
      </c>
      <c r="I394" t="s">
        <v>99</v>
      </c>
      <c r="J394" s="4">
        <v>335</v>
      </c>
      <c r="K394" s="4">
        <v>1005</v>
      </c>
      <c r="O394" t="s">
        <v>100</v>
      </c>
      <c r="P394" s="4">
        <v>699.95</v>
      </c>
      <c r="S394">
        <v>20</v>
      </c>
      <c r="T394">
        <v>26</v>
      </c>
      <c r="U394">
        <v>26</v>
      </c>
      <c r="W394">
        <v>11.02</v>
      </c>
      <c r="X394">
        <v>1</v>
      </c>
      <c r="Y394">
        <v>13.25</v>
      </c>
      <c r="Z394">
        <v>28.5</v>
      </c>
      <c r="AA394">
        <v>25</v>
      </c>
      <c r="AB394">
        <v>5.4630000000000001</v>
      </c>
      <c r="AC394">
        <v>17.239999999999998</v>
      </c>
      <c r="AE394">
        <v>12</v>
      </c>
      <c r="AF394" t="s">
        <v>1805</v>
      </c>
      <c r="AG394">
        <v>60</v>
      </c>
      <c r="AK394" t="s">
        <v>102</v>
      </c>
      <c r="AM394" t="s">
        <v>102</v>
      </c>
      <c r="AN394" t="s">
        <v>100</v>
      </c>
      <c r="AO394" t="s">
        <v>102</v>
      </c>
      <c r="AP394" t="s">
        <v>117</v>
      </c>
      <c r="AQ394" t="s">
        <v>104</v>
      </c>
      <c r="AV394" t="s">
        <v>102</v>
      </c>
      <c r="AX394" t="s">
        <v>1979</v>
      </c>
      <c r="AZ394" t="s">
        <v>189</v>
      </c>
      <c r="BF394" t="s">
        <v>1998</v>
      </c>
      <c r="BG394" t="s">
        <v>102</v>
      </c>
      <c r="BH394" t="s">
        <v>102</v>
      </c>
      <c r="BI394" t="s">
        <v>102</v>
      </c>
      <c r="BK394" t="s">
        <v>191</v>
      </c>
      <c r="BM394">
        <v>5</v>
      </c>
      <c r="BN394">
        <v>1</v>
      </c>
      <c r="CA394" t="s">
        <v>1999</v>
      </c>
      <c r="CB394" t="s">
        <v>1979</v>
      </c>
      <c r="CL394" t="s">
        <v>100</v>
      </c>
      <c r="CM394" t="s">
        <v>100</v>
      </c>
      <c r="CN394" t="s">
        <v>193</v>
      </c>
      <c r="CO394" s="1">
        <v>43536</v>
      </c>
      <c r="CP394" s="1">
        <v>43634</v>
      </c>
    </row>
    <row r="395" spans="1:94" x14ac:dyDescent="0.25">
      <c r="A395" t="s">
        <v>2000</v>
      </c>
      <c r="B395" t="str">
        <f xml:space="preserve"> "" &amp; 840254049659</f>
        <v>840254049659</v>
      </c>
      <c r="C395" t="s">
        <v>400</v>
      </c>
      <c r="D395" t="s">
        <v>1997</v>
      </c>
      <c r="E395" t="s">
        <v>1978</v>
      </c>
      <c r="F395" t="s">
        <v>371</v>
      </c>
      <c r="G395">
        <v>1</v>
      </c>
      <c r="H395">
        <v>1</v>
      </c>
      <c r="I395" t="s">
        <v>99</v>
      </c>
      <c r="J395" s="4">
        <v>295</v>
      </c>
      <c r="K395" s="4">
        <v>885</v>
      </c>
      <c r="O395" t="s">
        <v>100</v>
      </c>
      <c r="P395" s="4">
        <v>619.95000000000005</v>
      </c>
      <c r="S395">
        <v>18</v>
      </c>
      <c r="T395">
        <v>38.25</v>
      </c>
      <c r="V395">
        <v>13</v>
      </c>
      <c r="W395">
        <v>14.45</v>
      </c>
      <c r="X395">
        <v>1</v>
      </c>
      <c r="Y395">
        <v>14.75</v>
      </c>
      <c r="Z395">
        <v>41.25</v>
      </c>
      <c r="AA395">
        <v>15.5</v>
      </c>
      <c r="AB395">
        <v>5.4580000000000002</v>
      </c>
      <c r="AC395">
        <v>20.11</v>
      </c>
      <c r="AE395">
        <v>12</v>
      </c>
      <c r="AF395" t="s">
        <v>1805</v>
      </c>
      <c r="AG395">
        <v>60</v>
      </c>
      <c r="AK395" t="s">
        <v>102</v>
      </c>
      <c r="AM395" t="s">
        <v>102</v>
      </c>
      <c r="AN395" t="s">
        <v>100</v>
      </c>
      <c r="AO395" t="s">
        <v>102</v>
      </c>
      <c r="AP395" t="s">
        <v>117</v>
      </c>
      <c r="AQ395" t="s">
        <v>104</v>
      </c>
      <c r="AV395" t="s">
        <v>102</v>
      </c>
      <c r="AX395" t="s">
        <v>1979</v>
      </c>
      <c r="AZ395" t="s">
        <v>189</v>
      </c>
      <c r="BF395" t="s">
        <v>2001</v>
      </c>
      <c r="BG395" t="s">
        <v>102</v>
      </c>
      <c r="BH395" t="s">
        <v>102</v>
      </c>
      <c r="BI395" t="s">
        <v>102</v>
      </c>
      <c r="BK395" t="s">
        <v>191</v>
      </c>
      <c r="BR395">
        <v>4.5</v>
      </c>
      <c r="BT395">
        <v>8</v>
      </c>
      <c r="CA395" t="s">
        <v>2002</v>
      </c>
      <c r="CB395" t="s">
        <v>1979</v>
      </c>
      <c r="CL395" t="s">
        <v>100</v>
      </c>
      <c r="CM395" t="s">
        <v>100</v>
      </c>
      <c r="CN395" t="s">
        <v>193</v>
      </c>
      <c r="CO395" s="1">
        <v>43536</v>
      </c>
      <c r="CP395" s="1">
        <v>43634</v>
      </c>
    </row>
    <row r="396" spans="1:94" x14ac:dyDescent="0.25">
      <c r="A396" t="s">
        <v>2003</v>
      </c>
      <c r="B396" t="str">
        <f xml:space="preserve"> "" &amp; 840254049611</f>
        <v>840254049611</v>
      </c>
      <c r="C396" t="s">
        <v>691</v>
      </c>
      <c r="D396" t="s">
        <v>2004</v>
      </c>
      <c r="E396" t="s">
        <v>1978</v>
      </c>
      <c r="F396" t="s">
        <v>371</v>
      </c>
      <c r="G396">
        <v>1</v>
      </c>
      <c r="H396">
        <v>1</v>
      </c>
      <c r="I396" t="s">
        <v>99</v>
      </c>
      <c r="J396" s="4">
        <v>250</v>
      </c>
      <c r="K396" s="4">
        <v>750</v>
      </c>
      <c r="O396" t="s">
        <v>100</v>
      </c>
      <c r="P396" s="4">
        <v>549.95000000000005</v>
      </c>
      <c r="S396">
        <v>30</v>
      </c>
      <c r="T396">
        <v>16.25</v>
      </c>
      <c r="V396">
        <v>16.25</v>
      </c>
      <c r="W396">
        <v>13.78</v>
      </c>
      <c r="X396">
        <v>1</v>
      </c>
      <c r="Y396">
        <v>30</v>
      </c>
      <c r="Z396">
        <v>18.75</v>
      </c>
      <c r="AA396">
        <v>18.75</v>
      </c>
      <c r="AB396">
        <v>6.1040000000000001</v>
      </c>
      <c r="AC396">
        <v>19.22</v>
      </c>
      <c r="AE396">
        <v>8</v>
      </c>
      <c r="AF396" t="s">
        <v>1805</v>
      </c>
      <c r="AG396">
        <v>60</v>
      </c>
      <c r="AK396" t="s">
        <v>102</v>
      </c>
      <c r="AM396" t="s">
        <v>102</v>
      </c>
      <c r="AN396" t="s">
        <v>100</v>
      </c>
      <c r="AO396" t="s">
        <v>102</v>
      </c>
      <c r="AP396" t="s">
        <v>117</v>
      </c>
      <c r="AQ396" t="s">
        <v>104</v>
      </c>
      <c r="AV396" t="s">
        <v>102</v>
      </c>
      <c r="AX396" t="s">
        <v>1979</v>
      </c>
      <c r="AZ396" t="s">
        <v>189</v>
      </c>
      <c r="BF396" t="s">
        <v>2005</v>
      </c>
      <c r="BG396" t="s">
        <v>102</v>
      </c>
      <c r="BH396" t="s">
        <v>102</v>
      </c>
      <c r="BI396" t="s">
        <v>102</v>
      </c>
      <c r="BK396" t="s">
        <v>191</v>
      </c>
      <c r="BR396">
        <v>1</v>
      </c>
      <c r="BT396">
        <v>5</v>
      </c>
      <c r="CA396" t="s">
        <v>2006</v>
      </c>
      <c r="CB396" t="s">
        <v>1979</v>
      </c>
      <c r="CL396" t="s">
        <v>100</v>
      </c>
      <c r="CM396" t="s">
        <v>100</v>
      </c>
      <c r="CN396" t="s">
        <v>193</v>
      </c>
      <c r="CO396" s="1">
        <v>43536</v>
      </c>
      <c r="CP396" s="1">
        <v>43634</v>
      </c>
    </row>
    <row r="397" spans="1:94" x14ac:dyDescent="0.25">
      <c r="A397" t="s">
        <v>2007</v>
      </c>
      <c r="B397" t="str">
        <f xml:space="preserve"> "" &amp; 840254049680</f>
        <v>840254049680</v>
      </c>
      <c r="C397" t="s">
        <v>400</v>
      </c>
      <c r="D397" t="s">
        <v>1997</v>
      </c>
      <c r="E397" t="s">
        <v>1978</v>
      </c>
      <c r="F397" t="s">
        <v>371</v>
      </c>
      <c r="G397">
        <v>1</v>
      </c>
      <c r="H397">
        <v>1</v>
      </c>
      <c r="I397" t="s">
        <v>99</v>
      </c>
      <c r="J397" s="4">
        <v>375</v>
      </c>
      <c r="K397" s="4">
        <v>1125</v>
      </c>
      <c r="O397" t="s">
        <v>100</v>
      </c>
      <c r="P397" s="4">
        <v>799.95</v>
      </c>
      <c r="S397">
        <v>22</v>
      </c>
      <c r="T397">
        <v>32</v>
      </c>
      <c r="U397">
        <v>32</v>
      </c>
      <c r="W397">
        <v>13.75</v>
      </c>
      <c r="X397">
        <v>1</v>
      </c>
      <c r="Y397">
        <v>13.5</v>
      </c>
      <c r="Z397">
        <v>34.5</v>
      </c>
      <c r="AA397">
        <v>30.25</v>
      </c>
      <c r="AB397">
        <v>8.1530000000000005</v>
      </c>
      <c r="AC397">
        <v>22.88</v>
      </c>
      <c r="AE397">
        <v>12</v>
      </c>
      <c r="AF397" t="s">
        <v>1805</v>
      </c>
      <c r="AG397">
        <v>60</v>
      </c>
      <c r="AK397" t="s">
        <v>102</v>
      </c>
      <c r="AM397" t="s">
        <v>102</v>
      </c>
      <c r="AN397" t="s">
        <v>100</v>
      </c>
      <c r="AO397" t="s">
        <v>102</v>
      </c>
      <c r="AP397" t="s">
        <v>117</v>
      </c>
      <c r="AQ397" t="s">
        <v>104</v>
      </c>
      <c r="AV397" t="s">
        <v>102</v>
      </c>
      <c r="AX397" t="s">
        <v>1979</v>
      </c>
      <c r="AZ397" t="s">
        <v>189</v>
      </c>
      <c r="BF397" t="s">
        <v>2008</v>
      </c>
      <c r="BG397" t="s">
        <v>102</v>
      </c>
      <c r="BH397" t="s">
        <v>102</v>
      </c>
      <c r="BI397" t="s">
        <v>102</v>
      </c>
      <c r="BK397" t="s">
        <v>191</v>
      </c>
      <c r="BR397">
        <v>1</v>
      </c>
      <c r="BT397">
        <v>5</v>
      </c>
      <c r="CA397" t="s">
        <v>2009</v>
      </c>
      <c r="CB397" t="s">
        <v>1979</v>
      </c>
      <c r="CL397" t="s">
        <v>100</v>
      </c>
      <c r="CM397" t="s">
        <v>100</v>
      </c>
      <c r="CN397" t="s">
        <v>193</v>
      </c>
      <c r="CO397" s="1">
        <v>43536</v>
      </c>
      <c r="CP397" s="1">
        <v>43634</v>
      </c>
    </row>
    <row r="398" spans="1:94" x14ac:dyDescent="0.25">
      <c r="A398" t="s">
        <v>2010</v>
      </c>
      <c r="B398" t="str">
        <f xml:space="preserve"> "" &amp; 840254027749</f>
        <v>840254027749</v>
      </c>
      <c r="C398" t="s">
        <v>95</v>
      </c>
      <c r="D398" t="s">
        <v>2011</v>
      </c>
      <c r="F398" t="s">
        <v>98</v>
      </c>
      <c r="G398">
        <v>1</v>
      </c>
      <c r="H398">
        <v>1</v>
      </c>
      <c r="I398" t="s">
        <v>99</v>
      </c>
      <c r="J398" s="4">
        <v>895</v>
      </c>
      <c r="K398" s="4">
        <v>2685</v>
      </c>
      <c r="O398" t="s">
        <v>100</v>
      </c>
      <c r="P398" s="4">
        <v>1879.95</v>
      </c>
      <c r="S398">
        <v>32</v>
      </c>
      <c r="U398">
        <v>34.5</v>
      </c>
      <c r="W398">
        <v>31.53</v>
      </c>
      <c r="X398">
        <v>1</v>
      </c>
      <c r="Y398">
        <v>15.5</v>
      </c>
      <c r="Z398">
        <v>32.5</v>
      </c>
      <c r="AA398">
        <v>32.5</v>
      </c>
      <c r="AB398">
        <v>9.4740000000000002</v>
      </c>
      <c r="AC398">
        <v>42.99</v>
      </c>
      <c r="AE398">
        <v>4</v>
      </c>
      <c r="AF398" t="s">
        <v>176</v>
      </c>
      <c r="AG398">
        <v>40</v>
      </c>
      <c r="AH398">
        <v>8</v>
      </c>
      <c r="AI398" t="s">
        <v>176</v>
      </c>
      <c r="AJ398">
        <v>40</v>
      </c>
      <c r="AK398" t="s">
        <v>102</v>
      </c>
      <c r="AL398">
        <v>12</v>
      </c>
      <c r="AM398" t="s">
        <v>102</v>
      </c>
      <c r="AN398" t="s">
        <v>102</v>
      </c>
      <c r="AO398" t="s">
        <v>100</v>
      </c>
      <c r="AP398" t="s">
        <v>103</v>
      </c>
      <c r="AQ398" t="s">
        <v>104</v>
      </c>
      <c r="AV398" t="s">
        <v>102</v>
      </c>
      <c r="AX398" t="s">
        <v>266</v>
      </c>
      <c r="AZ398" t="s">
        <v>163</v>
      </c>
      <c r="BF398" t="s">
        <v>2012</v>
      </c>
      <c r="BG398" t="s">
        <v>102</v>
      </c>
      <c r="BH398" t="s">
        <v>102</v>
      </c>
      <c r="BI398" t="s">
        <v>102</v>
      </c>
      <c r="BK398" t="s">
        <v>107</v>
      </c>
      <c r="CA398" t="s">
        <v>2010</v>
      </c>
      <c r="CB398" t="s">
        <v>266</v>
      </c>
      <c r="CL398" t="s">
        <v>102</v>
      </c>
      <c r="CM398" t="s">
        <v>102</v>
      </c>
      <c r="CN398" t="s">
        <v>2013</v>
      </c>
      <c r="CO398" s="1">
        <v>38829</v>
      </c>
      <c r="CP398" s="1">
        <v>43634</v>
      </c>
    </row>
    <row r="399" spans="1:94" x14ac:dyDescent="0.25">
      <c r="A399" t="s">
        <v>2014</v>
      </c>
      <c r="B399" t="str">
        <f xml:space="preserve"> "" &amp; 840254027756</f>
        <v>840254027756</v>
      </c>
      <c r="C399" t="s">
        <v>899</v>
      </c>
      <c r="D399" t="s">
        <v>2015</v>
      </c>
      <c r="F399" t="s">
        <v>98</v>
      </c>
      <c r="G399">
        <v>1</v>
      </c>
      <c r="H399">
        <v>1</v>
      </c>
      <c r="I399" t="s">
        <v>99</v>
      </c>
      <c r="J399" s="4">
        <v>1395</v>
      </c>
      <c r="K399" s="4">
        <v>4185</v>
      </c>
      <c r="O399" t="s">
        <v>100</v>
      </c>
      <c r="P399" s="4">
        <v>2929.95</v>
      </c>
      <c r="S399">
        <v>40.5</v>
      </c>
      <c r="U399">
        <v>45</v>
      </c>
      <c r="W399">
        <v>50.71</v>
      </c>
      <c r="X399">
        <v>1</v>
      </c>
      <c r="Y399">
        <v>24.5</v>
      </c>
      <c r="Z399">
        <v>41.5</v>
      </c>
      <c r="AA399">
        <v>41.5</v>
      </c>
      <c r="AB399">
        <v>24.417999999999999</v>
      </c>
      <c r="AC399">
        <v>71.650000000000006</v>
      </c>
      <c r="AE399">
        <v>4</v>
      </c>
      <c r="AF399" t="s">
        <v>176</v>
      </c>
      <c r="AG399">
        <v>40</v>
      </c>
      <c r="AH399">
        <v>8</v>
      </c>
      <c r="AI399" t="s">
        <v>176</v>
      </c>
      <c r="AJ399">
        <v>40</v>
      </c>
      <c r="AK399" t="s">
        <v>102</v>
      </c>
      <c r="AL399">
        <v>20</v>
      </c>
      <c r="AM399" t="s">
        <v>102</v>
      </c>
      <c r="AN399" t="s">
        <v>102</v>
      </c>
      <c r="AO399" t="s">
        <v>100</v>
      </c>
      <c r="AP399" t="s">
        <v>103</v>
      </c>
      <c r="AQ399" t="s">
        <v>104</v>
      </c>
      <c r="AV399" t="s">
        <v>102</v>
      </c>
      <c r="AX399" t="s">
        <v>266</v>
      </c>
      <c r="AZ399" t="s">
        <v>163</v>
      </c>
      <c r="BF399" t="s">
        <v>2016</v>
      </c>
      <c r="BG399" t="s">
        <v>102</v>
      </c>
      <c r="BH399" t="s">
        <v>102</v>
      </c>
      <c r="BI399" t="s">
        <v>102</v>
      </c>
      <c r="BK399" t="s">
        <v>107</v>
      </c>
      <c r="CA399" t="s">
        <v>2014</v>
      </c>
      <c r="CB399" t="s">
        <v>266</v>
      </c>
      <c r="CL399" t="s">
        <v>102</v>
      </c>
      <c r="CM399" t="s">
        <v>102</v>
      </c>
      <c r="CN399" t="s">
        <v>2017</v>
      </c>
      <c r="CO399" s="1">
        <v>38829</v>
      </c>
      <c r="CP399" s="1">
        <v>43634</v>
      </c>
    </row>
    <row r="400" spans="1:94" x14ac:dyDescent="0.25">
      <c r="A400" t="s">
        <v>2018</v>
      </c>
      <c r="B400" t="str">
        <f xml:space="preserve"> "" &amp; 840254015036</f>
        <v>840254015036</v>
      </c>
      <c r="C400" t="s">
        <v>290</v>
      </c>
      <c r="D400" t="s">
        <v>290</v>
      </c>
      <c r="F400" t="s">
        <v>179</v>
      </c>
      <c r="G400">
        <v>1</v>
      </c>
      <c r="H400">
        <v>1</v>
      </c>
      <c r="I400" t="s">
        <v>99</v>
      </c>
      <c r="J400" s="4">
        <v>250</v>
      </c>
      <c r="K400" s="4">
        <v>750</v>
      </c>
      <c r="O400" t="s">
        <v>100</v>
      </c>
      <c r="P400" s="4">
        <v>524.95000000000005</v>
      </c>
      <c r="S400">
        <v>11.75</v>
      </c>
      <c r="U400">
        <v>5.5</v>
      </c>
      <c r="V400">
        <v>10.75</v>
      </c>
      <c r="W400">
        <v>5</v>
      </c>
      <c r="X400">
        <v>1</v>
      </c>
      <c r="Y400">
        <v>12.5</v>
      </c>
      <c r="Z400">
        <v>18.5</v>
      </c>
      <c r="AA400">
        <v>18.5</v>
      </c>
      <c r="AB400">
        <v>2.476</v>
      </c>
      <c r="AC400">
        <v>9.35</v>
      </c>
      <c r="AE400">
        <v>1</v>
      </c>
      <c r="AF400" t="s">
        <v>1552</v>
      </c>
      <c r="AG400">
        <v>60</v>
      </c>
      <c r="AK400" t="s">
        <v>102</v>
      </c>
      <c r="AM400" t="s">
        <v>102</v>
      </c>
      <c r="AN400" t="s">
        <v>102</v>
      </c>
      <c r="AO400" t="s">
        <v>102</v>
      </c>
      <c r="AP400" t="s">
        <v>117</v>
      </c>
      <c r="AQ400" t="s">
        <v>104</v>
      </c>
      <c r="AV400" t="s">
        <v>102</v>
      </c>
      <c r="AZ400" t="s">
        <v>163</v>
      </c>
      <c r="BB400" t="s">
        <v>54</v>
      </c>
      <c r="BC400" t="s">
        <v>2019</v>
      </c>
      <c r="BF400" t="s">
        <v>2020</v>
      </c>
      <c r="BG400" t="s">
        <v>102</v>
      </c>
      <c r="BH400" t="s">
        <v>102</v>
      </c>
      <c r="BI400" t="s">
        <v>102</v>
      </c>
      <c r="BK400" t="s">
        <v>107</v>
      </c>
      <c r="BL400" t="s">
        <v>180</v>
      </c>
      <c r="CA400" t="s">
        <v>2018</v>
      </c>
      <c r="CL400" t="s">
        <v>102</v>
      </c>
      <c r="CM400" t="s">
        <v>102</v>
      </c>
      <c r="CN400" t="s">
        <v>2021</v>
      </c>
      <c r="CO400" s="1">
        <v>41759</v>
      </c>
      <c r="CP400" s="1">
        <v>43634</v>
      </c>
    </row>
    <row r="401" spans="1:94" x14ac:dyDescent="0.25">
      <c r="A401" t="s">
        <v>2022</v>
      </c>
      <c r="B401" t="str">
        <f xml:space="preserve"> "" &amp; 840254015043</f>
        <v>840254015043</v>
      </c>
      <c r="C401" t="s">
        <v>740</v>
      </c>
      <c r="D401" t="s">
        <v>740</v>
      </c>
      <c r="F401" t="s">
        <v>98</v>
      </c>
      <c r="G401">
        <v>1</v>
      </c>
      <c r="H401">
        <v>1</v>
      </c>
      <c r="I401" t="s">
        <v>99</v>
      </c>
      <c r="J401" s="4">
        <v>1095</v>
      </c>
      <c r="K401" s="4">
        <v>3285</v>
      </c>
      <c r="O401" t="s">
        <v>100</v>
      </c>
      <c r="P401" s="4">
        <v>2299.9499999999998</v>
      </c>
      <c r="S401">
        <v>27.5</v>
      </c>
      <c r="T401">
        <v>26</v>
      </c>
      <c r="U401">
        <v>26</v>
      </c>
      <c r="W401">
        <v>31</v>
      </c>
      <c r="X401">
        <v>2</v>
      </c>
      <c r="Y401">
        <v>11.81</v>
      </c>
      <c r="Z401">
        <v>19.690000000000001</v>
      </c>
      <c r="AA401">
        <v>19.690000000000001</v>
      </c>
      <c r="AB401">
        <v>2.65</v>
      </c>
      <c r="AC401">
        <v>37.950000000000003</v>
      </c>
      <c r="AE401">
        <v>6</v>
      </c>
      <c r="AF401" t="s">
        <v>101</v>
      </c>
      <c r="AG401">
        <v>60</v>
      </c>
      <c r="AK401" t="s">
        <v>102</v>
      </c>
      <c r="AL401">
        <v>6</v>
      </c>
      <c r="AM401" t="s">
        <v>102</v>
      </c>
      <c r="AN401" t="s">
        <v>102</v>
      </c>
      <c r="AO401" t="s">
        <v>102</v>
      </c>
      <c r="AP401" t="s">
        <v>103</v>
      </c>
      <c r="AQ401" t="s">
        <v>104</v>
      </c>
      <c r="AV401" t="s">
        <v>102</v>
      </c>
      <c r="AZ401" t="s">
        <v>163</v>
      </c>
      <c r="BB401" t="s">
        <v>54</v>
      </c>
      <c r="BC401" t="s">
        <v>2019</v>
      </c>
      <c r="BF401" t="s">
        <v>2023</v>
      </c>
      <c r="BG401" t="s">
        <v>102</v>
      </c>
      <c r="BH401" t="s">
        <v>102</v>
      </c>
      <c r="BI401" t="s">
        <v>102</v>
      </c>
      <c r="BK401" t="s">
        <v>107</v>
      </c>
      <c r="BQ401">
        <v>5.5</v>
      </c>
      <c r="BR401">
        <v>2.25</v>
      </c>
      <c r="BS401">
        <v>5.5</v>
      </c>
      <c r="BT401">
        <v>5.5</v>
      </c>
      <c r="CA401" t="s">
        <v>2022</v>
      </c>
      <c r="CL401" t="s">
        <v>102</v>
      </c>
      <c r="CM401" t="s">
        <v>102</v>
      </c>
      <c r="CN401" t="s">
        <v>2021</v>
      </c>
      <c r="CO401" s="1">
        <v>41759</v>
      </c>
      <c r="CP401" s="1">
        <v>43634</v>
      </c>
    </row>
    <row r="402" spans="1:94" x14ac:dyDescent="0.25">
      <c r="A402" t="s">
        <v>2024</v>
      </c>
      <c r="B402" t="str">
        <f xml:space="preserve"> "" &amp; 840254015050</f>
        <v>840254015050</v>
      </c>
      <c r="C402" t="s">
        <v>111</v>
      </c>
      <c r="D402" t="s">
        <v>111</v>
      </c>
      <c r="F402" t="s">
        <v>98</v>
      </c>
      <c r="G402">
        <v>1</v>
      </c>
      <c r="H402">
        <v>1</v>
      </c>
      <c r="I402" t="s">
        <v>99</v>
      </c>
      <c r="J402" s="4">
        <v>1695</v>
      </c>
      <c r="K402" s="4">
        <v>5085</v>
      </c>
      <c r="O402" t="s">
        <v>100</v>
      </c>
      <c r="P402" s="4">
        <v>3559.95</v>
      </c>
      <c r="S402">
        <v>29.75</v>
      </c>
      <c r="T402">
        <v>36</v>
      </c>
      <c r="U402">
        <v>36</v>
      </c>
      <c r="W402">
        <v>51.01</v>
      </c>
      <c r="X402">
        <v>2</v>
      </c>
      <c r="Y402">
        <v>15.75</v>
      </c>
      <c r="Z402">
        <v>23.62</v>
      </c>
      <c r="AA402">
        <v>23.62</v>
      </c>
      <c r="AB402">
        <v>5.085</v>
      </c>
      <c r="AC402">
        <v>66</v>
      </c>
      <c r="AE402">
        <v>8</v>
      </c>
      <c r="AF402" t="s">
        <v>101</v>
      </c>
      <c r="AG402">
        <v>60</v>
      </c>
      <c r="AK402" t="s">
        <v>102</v>
      </c>
      <c r="AM402" t="s">
        <v>102</v>
      </c>
      <c r="AN402" t="s">
        <v>102</v>
      </c>
      <c r="AO402" t="s">
        <v>102</v>
      </c>
      <c r="AP402" t="s">
        <v>103</v>
      </c>
      <c r="AQ402" t="s">
        <v>104</v>
      </c>
      <c r="AV402" t="s">
        <v>102</v>
      </c>
      <c r="AZ402" t="s">
        <v>163</v>
      </c>
      <c r="BB402" t="s">
        <v>54</v>
      </c>
      <c r="BC402" t="s">
        <v>2019</v>
      </c>
      <c r="BF402" t="s">
        <v>2025</v>
      </c>
      <c r="BG402" t="s">
        <v>102</v>
      </c>
      <c r="BH402" t="s">
        <v>102</v>
      </c>
      <c r="BI402" t="s">
        <v>102</v>
      </c>
      <c r="BK402" t="s">
        <v>107</v>
      </c>
      <c r="BQ402">
        <v>5.63</v>
      </c>
      <c r="BR402">
        <v>1.38</v>
      </c>
      <c r="BS402">
        <v>5.63</v>
      </c>
      <c r="BT402">
        <v>5.63</v>
      </c>
      <c r="CA402" t="s">
        <v>2024</v>
      </c>
      <c r="CL402" t="s">
        <v>102</v>
      </c>
      <c r="CM402" t="s">
        <v>102</v>
      </c>
      <c r="CN402" t="s">
        <v>1544</v>
      </c>
      <c r="CO402" s="1">
        <v>41759</v>
      </c>
      <c r="CP402" s="1">
        <v>43634</v>
      </c>
    </row>
    <row r="403" spans="1:94" x14ac:dyDescent="0.25">
      <c r="A403" t="s">
        <v>2026</v>
      </c>
      <c r="B403" t="str">
        <f xml:space="preserve"> "" &amp; 840254015159</f>
        <v>840254015159</v>
      </c>
      <c r="C403" t="s">
        <v>319</v>
      </c>
      <c r="D403" t="s">
        <v>2027</v>
      </c>
      <c r="F403" t="s">
        <v>179</v>
      </c>
      <c r="G403">
        <v>1</v>
      </c>
      <c r="H403">
        <v>1</v>
      </c>
      <c r="I403" t="s">
        <v>99</v>
      </c>
      <c r="J403" s="4">
        <v>295</v>
      </c>
      <c r="K403" s="4">
        <v>885</v>
      </c>
      <c r="O403" t="s">
        <v>100</v>
      </c>
      <c r="P403" s="4">
        <v>619.95000000000005</v>
      </c>
      <c r="S403">
        <v>19</v>
      </c>
      <c r="U403">
        <v>14</v>
      </c>
      <c r="V403">
        <v>9</v>
      </c>
      <c r="W403">
        <v>16</v>
      </c>
      <c r="X403">
        <v>1</v>
      </c>
      <c r="Y403">
        <v>10.5</v>
      </c>
      <c r="Z403">
        <v>20.5</v>
      </c>
      <c r="AA403">
        <v>16.75</v>
      </c>
      <c r="AB403">
        <v>2.0859999999999999</v>
      </c>
      <c r="AC403">
        <v>16</v>
      </c>
      <c r="AE403">
        <v>5</v>
      </c>
      <c r="AF403" t="s">
        <v>101</v>
      </c>
      <c r="AG403">
        <v>60</v>
      </c>
      <c r="AK403" t="s">
        <v>102</v>
      </c>
      <c r="AM403" t="s">
        <v>102</v>
      </c>
      <c r="AN403" t="s">
        <v>102</v>
      </c>
      <c r="AO403" t="s">
        <v>102</v>
      </c>
      <c r="AP403" t="s">
        <v>117</v>
      </c>
      <c r="AQ403" t="s">
        <v>104</v>
      </c>
      <c r="AV403" t="s">
        <v>102</v>
      </c>
      <c r="AX403" t="s">
        <v>741</v>
      </c>
      <c r="AZ403" t="s">
        <v>163</v>
      </c>
      <c r="BF403" t="s">
        <v>2028</v>
      </c>
      <c r="BG403" t="s">
        <v>102</v>
      </c>
      <c r="BH403" t="s">
        <v>102</v>
      </c>
      <c r="BI403" t="s">
        <v>102</v>
      </c>
      <c r="BK403" t="s">
        <v>107</v>
      </c>
      <c r="BL403" t="s">
        <v>180</v>
      </c>
      <c r="CA403" t="s">
        <v>2029</v>
      </c>
      <c r="CB403" t="s">
        <v>741</v>
      </c>
      <c r="CL403" t="s">
        <v>102</v>
      </c>
      <c r="CM403" t="s">
        <v>102</v>
      </c>
      <c r="CN403" t="s">
        <v>2030</v>
      </c>
      <c r="CO403" s="1">
        <v>41759</v>
      </c>
      <c r="CP403" s="1">
        <v>43634</v>
      </c>
    </row>
    <row r="404" spans="1:94" x14ac:dyDescent="0.25">
      <c r="A404" t="s">
        <v>2031</v>
      </c>
      <c r="B404" t="str">
        <f xml:space="preserve"> "" &amp; 840254015289</f>
        <v>840254015289</v>
      </c>
      <c r="C404" t="s">
        <v>1301</v>
      </c>
      <c r="D404" t="s">
        <v>2032</v>
      </c>
      <c r="F404" t="s">
        <v>98</v>
      </c>
      <c r="G404">
        <v>1</v>
      </c>
      <c r="H404">
        <v>1</v>
      </c>
      <c r="I404" t="s">
        <v>99</v>
      </c>
      <c r="J404" s="4">
        <v>995</v>
      </c>
      <c r="K404" s="4">
        <v>2985</v>
      </c>
      <c r="O404" t="s">
        <v>100</v>
      </c>
      <c r="P404" s="4">
        <v>2089.9499999999998</v>
      </c>
      <c r="S404">
        <v>19</v>
      </c>
      <c r="U404">
        <v>19</v>
      </c>
      <c r="W404">
        <v>11</v>
      </c>
      <c r="X404">
        <v>1</v>
      </c>
      <c r="Y404">
        <v>13.38</v>
      </c>
      <c r="Z404">
        <v>16.14</v>
      </c>
      <c r="AA404">
        <v>16.14</v>
      </c>
      <c r="AB404">
        <v>2.0169999999999999</v>
      </c>
      <c r="AC404">
        <v>17.600000000000001</v>
      </c>
      <c r="AE404">
        <v>4</v>
      </c>
      <c r="AF404" t="s">
        <v>101</v>
      </c>
      <c r="AG404">
        <v>60</v>
      </c>
      <c r="AK404" t="s">
        <v>102</v>
      </c>
      <c r="AM404" t="s">
        <v>102</v>
      </c>
      <c r="AN404" t="s">
        <v>102</v>
      </c>
      <c r="AO404" t="s">
        <v>102</v>
      </c>
      <c r="AP404" t="s">
        <v>117</v>
      </c>
      <c r="AQ404" t="s">
        <v>104</v>
      </c>
      <c r="AV404" t="s">
        <v>102</v>
      </c>
      <c r="AZ404" t="s">
        <v>163</v>
      </c>
      <c r="BF404" t="s">
        <v>2033</v>
      </c>
      <c r="BG404" t="s">
        <v>102</v>
      </c>
      <c r="BH404" t="s">
        <v>102</v>
      </c>
      <c r="BI404" t="s">
        <v>102</v>
      </c>
      <c r="BK404" t="s">
        <v>107</v>
      </c>
      <c r="CA404" t="s">
        <v>2031</v>
      </c>
      <c r="CL404" t="s">
        <v>102</v>
      </c>
      <c r="CM404" t="s">
        <v>102</v>
      </c>
      <c r="CN404" t="s">
        <v>299</v>
      </c>
      <c r="CO404" s="1">
        <v>41760</v>
      </c>
      <c r="CP404" s="1">
        <v>43634</v>
      </c>
    </row>
    <row r="405" spans="1:94" x14ac:dyDescent="0.25">
      <c r="A405" t="s">
        <v>2034</v>
      </c>
      <c r="B405" t="str">
        <f xml:space="preserve"> "" &amp; 840254015302</f>
        <v>840254015302</v>
      </c>
      <c r="C405" t="s">
        <v>111</v>
      </c>
      <c r="D405" t="s">
        <v>111</v>
      </c>
      <c r="F405" t="s">
        <v>98</v>
      </c>
      <c r="G405">
        <v>1</v>
      </c>
      <c r="H405">
        <v>1</v>
      </c>
      <c r="I405" t="s">
        <v>99</v>
      </c>
      <c r="J405" s="4">
        <v>1695</v>
      </c>
      <c r="K405" s="4">
        <v>5085</v>
      </c>
      <c r="O405" t="s">
        <v>100</v>
      </c>
      <c r="P405" s="4">
        <v>3559.95</v>
      </c>
      <c r="S405">
        <v>30</v>
      </c>
      <c r="T405">
        <v>28.75</v>
      </c>
      <c r="U405">
        <v>28.75</v>
      </c>
      <c r="W405">
        <v>25</v>
      </c>
      <c r="X405">
        <v>1</v>
      </c>
      <c r="Y405">
        <v>39</v>
      </c>
      <c r="Z405">
        <v>36</v>
      </c>
      <c r="AA405">
        <v>36</v>
      </c>
      <c r="AB405">
        <v>29.25</v>
      </c>
      <c r="AC405">
        <v>39.6</v>
      </c>
      <c r="AE405">
        <v>8</v>
      </c>
      <c r="AF405" t="s">
        <v>101</v>
      </c>
      <c r="AG405">
        <v>60</v>
      </c>
      <c r="AK405" t="s">
        <v>102</v>
      </c>
      <c r="AM405" t="s">
        <v>102</v>
      </c>
      <c r="AN405" t="s">
        <v>102</v>
      </c>
      <c r="AO405" t="s">
        <v>102</v>
      </c>
      <c r="AP405" t="s">
        <v>103</v>
      </c>
      <c r="AQ405" t="s">
        <v>104</v>
      </c>
      <c r="AV405" t="s">
        <v>102</v>
      </c>
      <c r="AZ405" t="s">
        <v>163</v>
      </c>
      <c r="BF405" t="s">
        <v>2035</v>
      </c>
      <c r="BG405" t="s">
        <v>102</v>
      </c>
      <c r="BH405" t="s">
        <v>102</v>
      </c>
      <c r="BI405" t="s">
        <v>102</v>
      </c>
      <c r="BK405" t="s">
        <v>107</v>
      </c>
      <c r="BQ405">
        <v>5.25</v>
      </c>
      <c r="BR405">
        <v>1.25</v>
      </c>
      <c r="BS405">
        <v>5.25</v>
      </c>
      <c r="BT405">
        <v>5.25</v>
      </c>
      <c r="CA405" t="s">
        <v>2034</v>
      </c>
      <c r="CL405" t="s">
        <v>102</v>
      </c>
      <c r="CM405" t="s">
        <v>102</v>
      </c>
      <c r="CN405" t="s">
        <v>299</v>
      </c>
      <c r="CO405" s="1">
        <v>41760</v>
      </c>
      <c r="CP405" s="1">
        <v>43634</v>
      </c>
    </row>
    <row r="406" spans="1:94" x14ac:dyDescent="0.25">
      <c r="A406" t="s">
        <v>2036</v>
      </c>
      <c r="B406" t="str">
        <f xml:space="preserve"> "" &amp; 840254015333</f>
        <v>840254015333</v>
      </c>
      <c r="C406" t="s">
        <v>1200</v>
      </c>
      <c r="D406" t="s">
        <v>1200</v>
      </c>
      <c r="F406" t="s">
        <v>98</v>
      </c>
      <c r="G406">
        <v>1</v>
      </c>
      <c r="H406">
        <v>1</v>
      </c>
      <c r="I406" t="s">
        <v>99</v>
      </c>
      <c r="J406" s="4">
        <v>3495</v>
      </c>
      <c r="K406" s="4">
        <v>10485</v>
      </c>
      <c r="O406" t="s">
        <v>100</v>
      </c>
      <c r="P406" s="4">
        <v>7339.95</v>
      </c>
      <c r="S406">
        <v>43.5</v>
      </c>
      <c r="T406">
        <v>32.25</v>
      </c>
      <c r="U406">
        <v>32.25</v>
      </c>
      <c r="W406">
        <v>52.01</v>
      </c>
      <c r="X406">
        <v>1</v>
      </c>
      <c r="Y406">
        <v>27.55</v>
      </c>
      <c r="Z406">
        <v>39.5</v>
      </c>
      <c r="AA406">
        <v>39.5</v>
      </c>
      <c r="AB406">
        <v>24.876000000000001</v>
      </c>
      <c r="AC406">
        <v>57.2</v>
      </c>
      <c r="AE406">
        <v>18</v>
      </c>
      <c r="AF406" t="s">
        <v>101</v>
      </c>
      <c r="AG406">
        <v>60</v>
      </c>
      <c r="AK406" t="s">
        <v>102</v>
      </c>
      <c r="AM406" t="s">
        <v>102</v>
      </c>
      <c r="AN406" t="s">
        <v>102</v>
      </c>
      <c r="AO406" t="s">
        <v>102</v>
      </c>
      <c r="AP406" t="s">
        <v>103</v>
      </c>
      <c r="AQ406" t="s">
        <v>104</v>
      </c>
      <c r="AV406" t="s">
        <v>102</v>
      </c>
      <c r="AZ406" t="s">
        <v>163</v>
      </c>
      <c r="BF406" t="s">
        <v>2037</v>
      </c>
      <c r="BG406" t="s">
        <v>102</v>
      </c>
      <c r="BH406" t="s">
        <v>102</v>
      </c>
      <c r="BI406" t="s">
        <v>102</v>
      </c>
      <c r="BK406" t="s">
        <v>107</v>
      </c>
      <c r="BR406">
        <v>1.1299999999999999</v>
      </c>
      <c r="BT406">
        <v>5.25</v>
      </c>
      <c r="CA406" t="s">
        <v>2036</v>
      </c>
      <c r="CL406" t="s">
        <v>102</v>
      </c>
      <c r="CM406" t="s">
        <v>102</v>
      </c>
      <c r="CN406" t="s">
        <v>361</v>
      </c>
      <c r="CO406" s="1">
        <v>41759</v>
      </c>
      <c r="CP406" s="1">
        <v>43634</v>
      </c>
    </row>
    <row r="407" spans="1:94" x14ac:dyDescent="0.25">
      <c r="A407" t="s">
        <v>2038</v>
      </c>
      <c r="B407" t="str">
        <f xml:space="preserve"> "" &amp; 840254015401</f>
        <v>840254015401</v>
      </c>
      <c r="C407" t="s">
        <v>1719</v>
      </c>
      <c r="D407" t="s">
        <v>1719</v>
      </c>
      <c r="F407" t="s">
        <v>371</v>
      </c>
      <c r="G407">
        <v>1</v>
      </c>
      <c r="H407">
        <v>1</v>
      </c>
      <c r="I407" t="s">
        <v>99</v>
      </c>
      <c r="J407" s="4">
        <v>875</v>
      </c>
      <c r="K407" s="4">
        <v>2625</v>
      </c>
      <c r="O407" t="s">
        <v>100</v>
      </c>
      <c r="P407" s="4">
        <v>1839.95</v>
      </c>
      <c r="S407">
        <v>22</v>
      </c>
      <c r="T407">
        <v>12.5</v>
      </c>
      <c r="U407">
        <v>12.5</v>
      </c>
      <c r="W407">
        <v>18.010000000000002</v>
      </c>
      <c r="X407">
        <v>1</v>
      </c>
      <c r="Y407">
        <v>24.41</v>
      </c>
      <c r="Z407">
        <v>16.14</v>
      </c>
      <c r="AA407">
        <v>16.14</v>
      </c>
      <c r="AB407">
        <v>3.68</v>
      </c>
      <c r="AC407">
        <v>24.2</v>
      </c>
      <c r="AE407">
        <v>4</v>
      </c>
      <c r="AF407" t="s">
        <v>101</v>
      </c>
      <c r="AG407">
        <v>60</v>
      </c>
      <c r="AK407" t="s">
        <v>102</v>
      </c>
      <c r="AM407" t="s">
        <v>102</v>
      </c>
      <c r="AN407" t="s">
        <v>102</v>
      </c>
      <c r="AO407" t="s">
        <v>102</v>
      </c>
      <c r="AP407" t="s">
        <v>117</v>
      </c>
      <c r="AQ407" t="s">
        <v>104</v>
      </c>
      <c r="AV407" t="s">
        <v>102</v>
      </c>
      <c r="AZ407" t="s">
        <v>163</v>
      </c>
      <c r="BB407" t="s">
        <v>54</v>
      </c>
      <c r="BC407" t="s">
        <v>373</v>
      </c>
      <c r="BF407" t="s">
        <v>2039</v>
      </c>
      <c r="BG407" t="s">
        <v>102</v>
      </c>
      <c r="BH407" t="s">
        <v>102</v>
      </c>
      <c r="BI407" t="s">
        <v>102</v>
      </c>
      <c r="BK407" t="s">
        <v>107</v>
      </c>
      <c r="BR407">
        <v>1.1299999999999999</v>
      </c>
      <c r="BT407">
        <v>5.25</v>
      </c>
      <c r="CA407" t="s">
        <v>2038</v>
      </c>
      <c r="CL407" t="s">
        <v>102</v>
      </c>
      <c r="CM407" t="s">
        <v>102</v>
      </c>
      <c r="CN407" t="s">
        <v>294</v>
      </c>
      <c r="CO407" s="1">
        <v>41760</v>
      </c>
      <c r="CP407" s="1">
        <v>43634</v>
      </c>
    </row>
    <row r="408" spans="1:94" x14ac:dyDescent="0.25">
      <c r="A408" t="s">
        <v>2040</v>
      </c>
      <c r="B408" t="str">
        <f xml:space="preserve"> "" &amp; 840254015418</f>
        <v>840254015418</v>
      </c>
      <c r="C408" t="s">
        <v>1719</v>
      </c>
      <c r="D408" t="s">
        <v>1719</v>
      </c>
      <c r="F408" t="s">
        <v>371</v>
      </c>
      <c r="G408">
        <v>1</v>
      </c>
      <c r="H408">
        <v>1</v>
      </c>
      <c r="I408" t="s">
        <v>99</v>
      </c>
      <c r="J408" s="4">
        <v>995</v>
      </c>
      <c r="K408" s="4">
        <v>2985</v>
      </c>
      <c r="O408" t="s">
        <v>100</v>
      </c>
      <c r="P408" s="4">
        <v>2089.9499999999998</v>
      </c>
      <c r="S408">
        <v>27.25</v>
      </c>
      <c r="T408">
        <v>15.25</v>
      </c>
      <c r="U408">
        <v>15.25</v>
      </c>
      <c r="W408">
        <v>25.99</v>
      </c>
      <c r="X408">
        <v>1</v>
      </c>
      <c r="Y408">
        <v>32.799999999999997</v>
      </c>
      <c r="Z408">
        <v>20.5</v>
      </c>
      <c r="AA408">
        <v>20.5</v>
      </c>
      <c r="AB408">
        <v>7.9770000000000003</v>
      </c>
      <c r="AC408">
        <v>28.6</v>
      </c>
      <c r="AE408">
        <v>4</v>
      </c>
      <c r="AF408" t="s">
        <v>101</v>
      </c>
      <c r="AG408">
        <v>60</v>
      </c>
      <c r="AK408" t="s">
        <v>102</v>
      </c>
      <c r="AM408" t="s">
        <v>102</v>
      </c>
      <c r="AN408" t="s">
        <v>102</v>
      </c>
      <c r="AO408" t="s">
        <v>102</v>
      </c>
      <c r="AP408" t="s">
        <v>103</v>
      </c>
      <c r="AQ408" t="s">
        <v>104</v>
      </c>
      <c r="AV408" t="s">
        <v>102</v>
      </c>
      <c r="AZ408" t="s">
        <v>163</v>
      </c>
      <c r="BB408" t="s">
        <v>118</v>
      </c>
      <c r="BC408" t="s">
        <v>275</v>
      </c>
      <c r="BF408" t="s">
        <v>2041</v>
      </c>
      <c r="BG408" t="s">
        <v>102</v>
      </c>
      <c r="BH408" t="s">
        <v>102</v>
      </c>
      <c r="BI408" t="s">
        <v>102</v>
      </c>
      <c r="BK408" t="s">
        <v>107</v>
      </c>
      <c r="BQ408">
        <v>5.13</v>
      </c>
      <c r="BR408">
        <v>1.25</v>
      </c>
      <c r="BS408">
        <v>5.13</v>
      </c>
      <c r="BT408">
        <v>5.13</v>
      </c>
      <c r="CA408" t="s">
        <v>2040</v>
      </c>
      <c r="CL408" t="s">
        <v>102</v>
      </c>
      <c r="CM408" t="s">
        <v>102</v>
      </c>
      <c r="CN408" t="s">
        <v>294</v>
      </c>
      <c r="CO408" s="1">
        <v>41760</v>
      </c>
      <c r="CP408" s="1">
        <v>43634</v>
      </c>
    </row>
    <row r="409" spans="1:94" x14ac:dyDescent="0.25">
      <c r="A409" t="s">
        <v>2042</v>
      </c>
      <c r="B409" t="str">
        <f xml:space="preserve"> "" &amp; 840254015425</f>
        <v>840254015425</v>
      </c>
      <c r="C409" t="s">
        <v>391</v>
      </c>
      <c r="D409" t="s">
        <v>391</v>
      </c>
      <c r="F409" t="s">
        <v>371</v>
      </c>
      <c r="G409">
        <v>1</v>
      </c>
      <c r="H409">
        <v>1</v>
      </c>
      <c r="I409" t="s">
        <v>99</v>
      </c>
      <c r="J409" s="4">
        <v>1995</v>
      </c>
      <c r="K409" s="4">
        <v>5985</v>
      </c>
      <c r="O409" t="s">
        <v>100</v>
      </c>
      <c r="P409" s="4">
        <v>4189.95</v>
      </c>
      <c r="S409">
        <v>41</v>
      </c>
      <c r="U409">
        <v>18.75</v>
      </c>
      <c r="W409">
        <v>26.4</v>
      </c>
      <c r="X409">
        <v>1</v>
      </c>
      <c r="Y409">
        <v>48.43</v>
      </c>
      <c r="Z409">
        <v>28.34</v>
      </c>
      <c r="AA409">
        <v>28.34</v>
      </c>
      <c r="AB409">
        <v>22.51</v>
      </c>
      <c r="AC409">
        <v>70.400000000000006</v>
      </c>
      <c r="AE409">
        <v>6</v>
      </c>
      <c r="AF409" t="s">
        <v>2043</v>
      </c>
      <c r="AG409">
        <v>60</v>
      </c>
      <c r="AK409" t="s">
        <v>102</v>
      </c>
      <c r="AM409" t="s">
        <v>102</v>
      </c>
      <c r="AN409" t="s">
        <v>102</v>
      </c>
      <c r="AO409" t="s">
        <v>102</v>
      </c>
      <c r="AP409" t="s">
        <v>103</v>
      </c>
      <c r="AQ409" t="s">
        <v>104</v>
      </c>
      <c r="AV409" t="s">
        <v>102</v>
      </c>
      <c r="AZ409" t="s">
        <v>163</v>
      </c>
      <c r="BB409" t="s">
        <v>54</v>
      </c>
      <c r="BC409" t="s">
        <v>373</v>
      </c>
      <c r="BF409" t="s">
        <v>2044</v>
      </c>
      <c r="BG409" t="s">
        <v>102</v>
      </c>
      <c r="BH409" t="s">
        <v>102</v>
      </c>
      <c r="BI409" t="s">
        <v>102</v>
      </c>
      <c r="BK409" t="s">
        <v>107</v>
      </c>
      <c r="BR409">
        <v>2.25</v>
      </c>
      <c r="BT409">
        <v>9</v>
      </c>
      <c r="CA409" t="s">
        <v>2042</v>
      </c>
      <c r="CL409" t="s">
        <v>102</v>
      </c>
      <c r="CM409" t="s">
        <v>102</v>
      </c>
      <c r="CN409" t="s">
        <v>294</v>
      </c>
      <c r="CO409" s="1">
        <v>41760</v>
      </c>
      <c r="CP409" s="1">
        <v>43634</v>
      </c>
    </row>
    <row r="410" spans="1:94" x14ac:dyDescent="0.25">
      <c r="A410" t="s">
        <v>2045</v>
      </c>
      <c r="B410" t="str">
        <f xml:space="preserve"> "" &amp; 840254015449</f>
        <v>840254015449</v>
      </c>
      <c r="C410" t="s">
        <v>370</v>
      </c>
      <c r="D410" t="s">
        <v>370</v>
      </c>
      <c r="F410" t="s">
        <v>371</v>
      </c>
      <c r="G410">
        <v>1</v>
      </c>
      <c r="H410">
        <v>1</v>
      </c>
      <c r="I410" t="s">
        <v>99</v>
      </c>
      <c r="J410" s="4">
        <v>2295</v>
      </c>
      <c r="K410" s="4">
        <v>6885</v>
      </c>
      <c r="O410" t="s">
        <v>100</v>
      </c>
      <c r="P410" s="4">
        <v>4819.95</v>
      </c>
      <c r="S410">
        <v>44</v>
      </c>
      <c r="T410">
        <v>23.5</v>
      </c>
      <c r="U410">
        <v>23.5</v>
      </c>
      <c r="W410">
        <v>67</v>
      </c>
      <c r="X410">
        <v>1</v>
      </c>
      <c r="Y410">
        <v>55</v>
      </c>
      <c r="Z410">
        <v>36</v>
      </c>
      <c r="AA410">
        <v>36</v>
      </c>
      <c r="AB410">
        <v>41.25</v>
      </c>
      <c r="AC410">
        <v>66</v>
      </c>
      <c r="AE410">
        <v>9</v>
      </c>
      <c r="AF410" t="s">
        <v>101</v>
      </c>
      <c r="AG410">
        <v>60</v>
      </c>
      <c r="AK410" t="s">
        <v>102</v>
      </c>
      <c r="AM410" t="s">
        <v>102</v>
      </c>
      <c r="AN410" t="s">
        <v>102</v>
      </c>
      <c r="AO410" t="s">
        <v>102</v>
      </c>
      <c r="AP410" t="s">
        <v>103</v>
      </c>
      <c r="AQ410" t="s">
        <v>104</v>
      </c>
      <c r="AV410" t="s">
        <v>102</v>
      </c>
      <c r="AZ410" t="s">
        <v>163</v>
      </c>
      <c r="BB410" t="s">
        <v>118</v>
      </c>
      <c r="BF410" t="s">
        <v>2046</v>
      </c>
      <c r="BG410" t="s">
        <v>102</v>
      </c>
      <c r="BH410" t="s">
        <v>102</v>
      </c>
      <c r="BI410" t="s">
        <v>102</v>
      </c>
      <c r="BK410" t="s">
        <v>107</v>
      </c>
      <c r="BR410">
        <v>1.5</v>
      </c>
      <c r="BT410">
        <v>9</v>
      </c>
      <c r="CA410" t="s">
        <v>2045</v>
      </c>
      <c r="CL410" t="s">
        <v>102</v>
      </c>
      <c r="CM410" t="s">
        <v>102</v>
      </c>
      <c r="CN410" t="s">
        <v>294</v>
      </c>
      <c r="CO410" s="1">
        <v>41760</v>
      </c>
      <c r="CP410" s="1">
        <v>43634</v>
      </c>
    </row>
    <row r="411" spans="1:94" x14ac:dyDescent="0.25">
      <c r="A411" t="s">
        <v>2047</v>
      </c>
      <c r="B411" t="str">
        <f xml:space="preserve"> "" &amp; 840254015579</f>
        <v>840254015579</v>
      </c>
      <c r="C411" t="s">
        <v>1719</v>
      </c>
      <c r="D411" t="s">
        <v>2048</v>
      </c>
      <c r="F411" t="s">
        <v>371</v>
      </c>
      <c r="G411">
        <v>1</v>
      </c>
      <c r="H411">
        <v>1</v>
      </c>
      <c r="I411" t="s">
        <v>99</v>
      </c>
      <c r="J411" s="4">
        <v>1495</v>
      </c>
      <c r="K411" s="4">
        <v>4485</v>
      </c>
      <c r="O411" t="s">
        <v>100</v>
      </c>
      <c r="P411" s="4">
        <v>3139.95</v>
      </c>
      <c r="S411">
        <v>30.5</v>
      </c>
      <c r="U411">
        <v>18.5</v>
      </c>
      <c r="W411">
        <v>28</v>
      </c>
      <c r="X411">
        <v>1</v>
      </c>
      <c r="Y411">
        <v>36.200000000000003</v>
      </c>
      <c r="Z411">
        <v>24.4</v>
      </c>
      <c r="AA411">
        <v>24.4</v>
      </c>
      <c r="AB411">
        <v>12.472</v>
      </c>
      <c r="AC411">
        <v>38.5</v>
      </c>
      <c r="AE411">
        <v>4</v>
      </c>
      <c r="AF411" t="s">
        <v>383</v>
      </c>
      <c r="AG411">
        <v>60</v>
      </c>
      <c r="AK411" t="s">
        <v>102</v>
      </c>
      <c r="AM411" t="s">
        <v>102</v>
      </c>
      <c r="AN411" t="s">
        <v>102</v>
      </c>
      <c r="AO411" t="s">
        <v>102</v>
      </c>
      <c r="AP411" t="s">
        <v>103</v>
      </c>
      <c r="AQ411" t="s">
        <v>104</v>
      </c>
      <c r="AV411" t="s">
        <v>102</v>
      </c>
      <c r="AX411" t="s">
        <v>297</v>
      </c>
      <c r="AZ411" t="s">
        <v>163</v>
      </c>
      <c r="BF411" t="s">
        <v>2049</v>
      </c>
      <c r="BG411" t="s">
        <v>102</v>
      </c>
      <c r="BH411" t="s">
        <v>102</v>
      </c>
      <c r="BI411" t="s">
        <v>102</v>
      </c>
      <c r="CA411" t="s">
        <v>2050</v>
      </c>
      <c r="CB411" t="s">
        <v>297</v>
      </c>
      <c r="CL411" t="s">
        <v>102</v>
      </c>
      <c r="CM411" t="s">
        <v>102</v>
      </c>
      <c r="CO411" s="1">
        <v>36923</v>
      </c>
      <c r="CP411" s="1">
        <v>43634</v>
      </c>
    </row>
    <row r="412" spans="1:94" x14ac:dyDescent="0.25">
      <c r="A412" t="s">
        <v>2051</v>
      </c>
      <c r="B412" t="str">
        <f xml:space="preserve"> "" &amp; 840254034099</f>
        <v>840254034099</v>
      </c>
      <c r="C412" t="s">
        <v>95</v>
      </c>
      <c r="D412" t="s">
        <v>2011</v>
      </c>
      <c r="F412" t="s">
        <v>98</v>
      </c>
      <c r="G412">
        <v>1</v>
      </c>
      <c r="H412">
        <v>1</v>
      </c>
      <c r="I412" t="s">
        <v>99</v>
      </c>
      <c r="J412" s="4">
        <v>3495</v>
      </c>
      <c r="K412" s="4">
        <v>10485</v>
      </c>
      <c r="O412" t="s">
        <v>100</v>
      </c>
      <c r="P412" s="4">
        <v>7339.95</v>
      </c>
      <c r="S412">
        <v>36.75</v>
      </c>
      <c r="U412">
        <v>34</v>
      </c>
      <c r="W412">
        <v>66.14</v>
      </c>
      <c r="X412">
        <v>1</v>
      </c>
      <c r="Y412">
        <v>45.28</v>
      </c>
      <c r="Z412">
        <v>35.43</v>
      </c>
      <c r="AA412">
        <v>35.43</v>
      </c>
      <c r="AB412">
        <v>32.893000000000001</v>
      </c>
      <c r="AC412">
        <v>77.16</v>
      </c>
      <c r="AE412">
        <v>12</v>
      </c>
      <c r="AG412">
        <v>40</v>
      </c>
      <c r="AK412" t="s">
        <v>102</v>
      </c>
      <c r="AL412">
        <v>12</v>
      </c>
      <c r="AM412" t="s">
        <v>102</v>
      </c>
      <c r="AN412" t="s">
        <v>102</v>
      </c>
      <c r="AO412" t="s">
        <v>100</v>
      </c>
      <c r="AP412" t="s">
        <v>103</v>
      </c>
      <c r="AQ412" t="s">
        <v>104</v>
      </c>
      <c r="AV412" t="s">
        <v>102</v>
      </c>
      <c r="AX412" t="s">
        <v>297</v>
      </c>
      <c r="AZ412" t="s">
        <v>163</v>
      </c>
      <c r="BD412" t="s">
        <v>2052</v>
      </c>
      <c r="BF412" t="s">
        <v>2053</v>
      </c>
      <c r="BG412" t="s">
        <v>102</v>
      </c>
      <c r="BH412" t="s">
        <v>102</v>
      </c>
      <c r="BI412" t="s">
        <v>102</v>
      </c>
      <c r="BK412" t="s">
        <v>107</v>
      </c>
      <c r="CA412" t="s">
        <v>2051</v>
      </c>
      <c r="CB412" t="s">
        <v>297</v>
      </c>
      <c r="CL412" t="s">
        <v>102</v>
      </c>
      <c r="CM412" t="s">
        <v>102</v>
      </c>
      <c r="CN412" t="s">
        <v>724</v>
      </c>
      <c r="CO412" s="1">
        <v>40290</v>
      </c>
      <c r="CP412" s="1">
        <v>43634</v>
      </c>
    </row>
    <row r="413" spans="1:94" x14ac:dyDescent="0.25">
      <c r="A413" t="s">
        <v>2054</v>
      </c>
      <c r="B413" t="str">
        <f xml:space="preserve"> "" &amp; 840254016606</f>
        <v>840254016606</v>
      </c>
      <c r="C413" t="s">
        <v>178</v>
      </c>
      <c r="D413" t="s">
        <v>178</v>
      </c>
      <c r="F413" t="s">
        <v>179</v>
      </c>
      <c r="G413">
        <v>1</v>
      </c>
      <c r="H413">
        <v>1</v>
      </c>
      <c r="I413" t="s">
        <v>99</v>
      </c>
      <c r="J413" s="4">
        <v>475</v>
      </c>
      <c r="K413" s="4">
        <v>1425</v>
      </c>
      <c r="O413" t="s">
        <v>100</v>
      </c>
      <c r="P413" s="4">
        <v>999.95</v>
      </c>
      <c r="S413">
        <v>15.5</v>
      </c>
      <c r="T413">
        <v>11</v>
      </c>
      <c r="U413">
        <v>11</v>
      </c>
      <c r="V413">
        <v>5</v>
      </c>
      <c r="W413">
        <v>4.01</v>
      </c>
      <c r="X413">
        <v>1</v>
      </c>
      <c r="Y413">
        <v>19.690000000000001</v>
      </c>
      <c r="Z413">
        <v>27.56</v>
      </c>
      <c r="AA413">
        <v>27.56</v>
      </c>
      <c r="AB413">
        <v>8.6549999999999994</v>
      </c>
      <c r="AC413">
        <v>3.3</v>
      </c>
      <c r="AE413">
        <v>2</v>
      </c>
      <c r="AF413" t="s">
        <v>2055</v>
      </c>
      <c r="AG413">
        <v>60</v>
      </c>
      <c r="AK413" t="s">
        <v>102</v>
      </c>
      <c r="AM413" t="s">
        <v>102</v>
      </c>
      <c r="AN413" t="s">
        <v>102</v>
      </c>
      <c r="AO413" t="s">
        <v>102</v>
      </c>
      <c r="AP413" t="s">
        <v>117</v>
      </c>
      <c r="AQ413" t="s">
        <v>104</v>
      </c>
      <c r="AV413" t="s">
        <v>102</v>
      </c>
      <c r="AX413" t="s">
        <v>2056</v>
      </c>
      <c r="AZ413" t="s">
        <v>163</v>
      </c>
      <c r="BF413" t="s">
        <v>2057</v>
      </c>
      <c r="BG413" t="s">
        <v>102</v>
      </c>
      <c r="BH413" t="s">
        <v>102</v>
      </c>
      <c r="BI413" t="s">
        <v>102</v>
      </c>
      <c r="BK413" t="s">
        <v>107</v>
      </c>
      <c r="BR413">
        <v>12.25</v>
      </c>
      <c r="BT413">
        <v>4.38</v>
      </c>
      <c r="CA413" t="s">
        <v>2054</v>
      </c>
      <c r="CB413" t="s">
        <v>2056</v>
      </c>
      <c r="CL413" t="s">
        <v>102</v>
      </c>
      <c r="CM413" t="s">
        <v>102</v>
      </c>
      <c r="CN413" t="s">
        <v>361</v>
      </c>
      <c r="CO413" s="1">
        <v>41760</v>
      </c>
      <c r="CP413" s="1">
        <v>43634</v>
      </c>
    </row>
    <row r="414" spans="1:94" x14ac:dyDescent="0.25">
      <c r="A414" t="s">
        <v>2058</v>
      </c>
      <c r="B414" t="str">
        <f xml:space="preserve"> "" &amp; 840254016682</f>
        <v>840254016682</v>
      </c>
      <c r="C414" t="s">
        <v>230</v>
      </c>
      <c r="D414" t="s">
        <v>230</v>
      </c>
      <c r="F414" t="s">
        <v>179</v>
      </c>
      <c r="G414">
        <v>1</v>
      </c>
      <c r="H414">
        <v>1</v>
      </c>
      <c r="I414" t="s">
        <v>99</v>
      </c>
      <c r="J414" s="4">
        <v>525</v>
      </c>
      <c r="K414" s="4">
        <v>1575</v>
      </c>
      <c r="O414" t="s">
        <v>100</v>
      </c>
      <c r="P414" s="4">
        <v>1099.95</v>
      </c>
      <c r="S414">
        <v>15.75</v>
      </c>
      <c r="U414">
        <v>10.75</v>
      </c>
      <c r="V414">
        <v>5.25</v>
      </c>
      <c r="W414">
        <v>6.61</v>
      </c>
      <c r="X414">
        <v>1</v>
      </c>
      <c r="Y414">
        <v>12</v>
      </c>
      <c r="Z414">
        <v>18</v>
      </c>
      <c r="AA414">
        <v>18</v>
      </c>
      <c r="AB414">
        <v>2.25</v>
      </c>
      <c r="AC414">
        <v>9.6999999999999993</v>
      </c>
      <c r="AE414">
        <v>3</v>
      </c>
      <c r="AF414" t="s">
        <v>2055</v>
      </c>
      <c r="AG414">
        <v>60</v>
      </c>
      <c r="AK414" t="s">
        <v>102</v>
      </c>
      <c r="AM414" t="s">
        <v>102</v>
      </c>
      <c r="AN414" t="s">
        <v>102</v>
      </c>
      <c r="AO414" t="s">
        <v>102</v>
      </c>
      <c r="AP414" t="s">
        <v>117</v>
      </c>
      <c r="AQ414" t="s">
        <v>104</v>
      </c>
      <c r="AV414" t="s">
        <v>102</v>
      </c>
      <c r="AX414" t="s">
        <v>2059</v>
      </c>
      <c r="AZ414" t="s">
        <v>163</v>
      </c>
      <c r="BF414" t="s">
        <v>2060</v>
      </c>
      <c r="BG414" t="s">
        <v>102</v>
      </c>
      <c r="BH414" t="s">
        <v>102</v>
      </c>
      <c r="BI414" t="s">
        <v>102</v>
      </c>
      <c r="BK414" t="s">
        <v>107</v>
      </c>
      <c r="BL414" t="s">
        <v>180</v>
      </c>
      <c r="BR414">
        <v>1.5</v>
      </c>
      <c r="BT414">
        <v>5</v>
      </c>
      <c r="CA414" t="s">
        <v>2058</v>
      </c>
      <c r="CB414" t="s">
        <v>2059</v>
      </c>
      <c r="CL414" t="s">
        <v>102</v>
      </c>
      <c r="CM414" t="s">
        <v>102</v>
      </c>
      <c r="CN414" t="s">
        <v>361</v>
      </c>
      <c r="CO414" s="1">
        <v>41760</v>
      </c>
      <c r="CP414" s="1">
        <v>43634</v>
      </c>
    </row>
    <row r="415" spans="1:94" x14ac:dyDescent="0.25">
      <c r="A415" t="s">
        <v>2061</v>
      </c>
      <c r="B415" t="str">
        <f xml:space="preserve"> "" &amp; 840254041424</f>
        <v>840254041424</v>
      </c>
      <c r="C415" t="s">
        <v>178</v>
      </c>
      <c r="D415" t="s">
        <v>178</v>
      </c>
      <c r="F415" t="s">
        <v>179</v>
      </c>
      <c r="G415">
        <v>1</v>
      </c>
      <c r="H415">
        <v>1</v>
      </c>
      <c r="I415" t="s">
        <v>99</v>
      </c>
      <c r="J415" s="4">
        <v>275</v>
      </c>
      <c r="K415" s="4">
        <v>825</v>
      </c>
      <c r="O415" t="s">
        <v>100</v>
      </c>
      <c r="P415" s="4">
        <v>579.95000000000005</v>
      </c>
      <c r="S415">
        <v>8</v>
      </c>
      <c r="U415">
        <v>12.75</v>
      </c>
      <c r="V415">
        <v>9.5</v>
      </c>
      <c r="W415">
        <v>4.4000000000000004</v>
      </c>
      <c r="X415">
        <v>1</v>
      </c>
      <c r="Y415">
        <v>10.43</v>
      </c>
      <c r="Z415">
        <v>12.6</v>
      </c>
      <c r="AA415">
        <v>12.6</v>
      </c>
      <c r="AB415">
        <v>0.95799999999999996</v>
      </c>
      <c r="AC415">
        <v>10</v>
      </c>
      <c r="AE415">
        <v>2</v>
      </c>
      <c r="AF415" t="s">
        <v>101</v>
      </c>
      <c r="AG415">
        <v>60</v>
      </c>
      <c r="AK415" t="s">
        <v>102</v>
      </c>
      <c r="AM415" t="s">
        <v>102</v>
      </c>
      <c r="AN415" t="s">
        <v>102</v>
      </c>
      <c r="AO415" t="s">
        <v>102</v>
      </c>
      <c r="AP415" t="s">
        <v>103</v>
      </c>
      <c r="AQ415" t="s">
        <v>104</v>
      </c>
      <c r="AV415" t="s">
        <v>102</v>
      </c>
      <c r="AZ415" t="s">
        <v>163</v>
      </c>
      <c r="BF415" t="s">
        <v>2062</v>
      </c>
      <c r="BG415" t="s">
        <v>102</v>
      </c>
      <c r="BH415" t="s">
        <v>102</v>
      </c>
      <c r="BI415" t="s">
        <v>102</v>
      </c>
      <c r="BK415" t="s">
        <v>107</v>
      </c>
      <c r="CA415" t="s">
        <v>2061</v>
      </c>
      <c r="CL415" t="s">
        <v>102</v>
      </c>
      <c r="CM415" t="s">
        <v>102</v>
      </c>
      <c r="CN415" t="s">
        <v>726</v>
      </c>
      <c r="CO415" s="1">
        <v>41703</v>
      </c>
      <c r="CP415" s="1">
        <v>43634</v>
      </c>
    </row>
    <row r="416" spans="1:94" x14ac:dyDescent="0.25">
      <c r="A416" t="s">
        <v>2063</v>
      </c>
      <c r="B416" t="str">
        <f xml:space="preserve"> "" &amp; 840254041394</f>
        <v>840254041394</v>
      </c>
      <c r="C416" t="s">
        <v>740</v>
      </c>
      <c r="D416" t="s">
        <v>740</v>
      </c>
      <c r="F416" t="s">
        <v>98</v>
      </c>
      <c r="G416">
        <v>1</v>
      </c>
      <c r="H416">
        <v>1</v>
      </c>
      <c r="I416" t="s">
        <v>99</v>
      </c>
      <c r="J416" s="4">
        <v>695</v>
      </c>
      <c r="K416" s="4">
        <v>2085</v>
      </c>
      <c r="O416" t="s">
        <v>100</v>
      </c>
      <c r="P416" s="4">
        <v>1459.95</v>
      </c>
      <c r="S416">
        <v>20</v>
      </c>
      <c r="T416">
        <v>24</v>
      </c>
      <c r="U416">
        <v>24</v>
      </c>
      <c r="W416">
        <v>10.01</v>
      </c>
      <c r="X416">
        <v>1</v>
      </c>
      <c r="Y416">
        <v>7.48</v>
      </c>
      <c r="Z416">
        <v>23.62</v>
      </c>
      <c r="AA416">
        <v>23.62</v>
      </c>
      <c r="AB416">
        <v>2.415</v>
      </c>
      <c r="AC416">
        <v>27.5</v>
      </c>
      <c r="AE416">
        <v>6</v>
      </c>
      <c r="AF416" t="s">
        <v>101</v>
      </c>
      <c r="AG416">
        <v>40</v>
      </c>
      <c r="AK416" t="s">
        <v>102</v>
      </c>
      <c r="AM416" t="s">
        <v>102</v>
      </c>
      <c r="AN416" t="s">
        <v>102</v>
      </c>
      <c r="AO416" t="s">
        <v>102</v>
      </c>
      <c r="AP416" t="s">
        <v>103</v>
      </c>
      <c r="AQ416" t="s">
        <v>104</v>
      </c>
      <c r="AV416" t="s">
        <v>102</v>
      </c>
      <c r="AX416" t="s">
        <v>266</v>
      </c>
      <c r="AZ416" t="s">
        <v>163</v>
      </c>
      <c r="BF416" t="s">
        <v>2064</v>
      </c>
      <c r="BG416" t="s">
        <v>102</v>
      </c>
      <c r="BH416" t="s">
        <v>102</v>
      </c>
      <c r="BI416" t="s">
        <v>102</v>
      </c>
      <c r="BK416" t="s">
        <v>107</v>
      </c>
      <c r="BQ416">
        <v>5</v>
      </c>
      <c r="BR416">
        <v>1.63</v>
      </c>
      <c r="BS416">
        <v>5</v>
      </c>
      <c r="BT416">
        <v>5</v>
      </c>
      <c r="CA416" t="s">
        <v>2063</v>
      </c>
      <c r="CB416" t="s">
        <v>266</v>
      </c>
      <c r="CL416" t="s">
        <v>102</v>
      </c>
      <c r="CM416" t="s">
        <v>102</v>
      </c>
      <c r="CN416" t="s">
        <v>726</v>
      </c>
      <c r="CO416" s="1">
        <v>41703</v>
      </c>
      <c r="CP416" s="1">
        <v>43634</v>
      </c>
    </row>
    <row r="417" spans="1:94" x14ac:dyDescent="0.25">
      <c r="A417" t="s">
        <v>2065</v>
      </c>
      <c r="B417" t="str">
        <f xml:space="preserve"> "" &amp; 840254041400</f>
        <v>840254041400</v>
      </c>
      <c r="C417" t="s">
        <v>111</v>
      </c>
      <c r="D417" t="s">
        <v>111</v>
      </c>
      <c r="F417" t="s">
        <v>98</v>
      </c>
      <c r="G417">
        <v>1</v>
      </c>
      <c r="H417">
        <v>1</v>
      </c>
      <c r="I417" t="s">
        <v>99</v>
      </c>
      <c r="J417" s="4">
        <v>995</v>
      </c>
      <c r="K417" s="4">
        <v>2985</v>
      </c>
      <c r="O417" t="s">
        <v>100</v>
      </c>
      <c r="P417" s="4">
        <v>2089.9499999999998</v>
      </c>
      <c r="S417">
        <v>21</v>
      </c>
      <c r="U417">
        <v>28.75</v>
      </c>
      <c r="W417">
        <v>33</v>
      </c>
      <c r="X417">
        <v>1</v>
      </c>
      <c r="Y417">
        <v>10.24</v>
      </c>
      <c r="Z417">
        <v>30.59</v>
      </c>
      <c r="AA417">
        <v>30.59</v>
      </c>
      <c r="AB417">
        <v>5.5449999999999999</v>
      </c>
      <c r="AC417">
        <v>34.1</v>
      </c>
      <c r="AE417">
        <v>8</v>
      </c>
      <c r="AF417" t="s">
        <v>101</v>
      </c>
      <c r="AG417">
        <v>60</v>
      </c>
      <c r="AK417" t="s">
        <v>102</v>
      </c>
      <c r="AM417" t="s">
        <v>102</v>
      </c>
      <c r="AN417" t="s">
        <v>102</v>
      </c>
      <c r="AO417" t="s">
        <v>102</v>
      </c>
      <c r="AP417" t="s">
        <v>103</v>
      </c>
      <c r="AQ417" t="s">
        <v>104</v>
      </c>
      <c r="AV417" t="s">
        <v>102</v>
      </c>
      <c r="AZ417" t="s">
        <v>163</v>
      </c>
      <c r="BF417" t="s">
        <v>2066</v>
      </c>
      <c r="BG417" t="s">
        <v>102</v>
      </c>
      <c r="BH417" t="s">
        <v>102</v>
      </c>
      <c r="BI417" t="s">
        <v>102</v>
      </c>
      <c r="BK417" t="s">
        <v>107</v>
      </c>
      <c r="CA417" t="s">
        <v>2065</v>
      </c>
      <c r="CL417" t="s">
        <v>102</v>
      </c>
      <c r="CM417" t="s">
        <v>102</v>
      </c>
      <c r="CN417" t="s">
        <v>726</v>
      </c>
      <c r="CO417" s="1">
        <v>41703</v>
      </c>
      <c r="CP417" s="1">
        <v>43634</v>
      </c>
    </row>
    <row r="418" spans="1:94" x14ac:dyDescent="0.25">
      <c r="A418" t="s">
        <v>2067</v>
      </c>
      <c r="B418" t="str">
        <f xml:space="preserve"> "" &amp; 840254041417</f>
        <v>840254041417</v>
      </c>
      <c r="C418" t="s">
        <v>95</v>
      </c>
      <c r="D418" t="s">
        <v>95</v>
      </c>
      <c r="F418" t="s">
        <v>98</v>
      </c>
      <c r="G418">
        <v>1</v>
      </c>
      <c r="H418">
        <v>1</v>
      </c>
      <c r="I418" t="s">
        <v>99</v>
      </c>
      <c r="J418" s="4">
        <v>1450</v>
      </c>
      <c r="K418" s="4">
        <v>4350</v>
      </c>
      <c r="O418" t="s">
        <v>100</v>
      </c>
      <c r="P418" s="4">
        <v>3044.95</v>
      </c>
      <c r="S418">
        <v>25.75</v>
      </c>
      <c r="T418">
        <v>29.5</v>
      </c>
      <c r="U418">
        <v>29.5</v>
      </c>
      <c r="W418">
        <v>17.5</v>
      </c>
      <c r="X418">
        <v>1</v>
      </c>
      <c r="Y418">
        <v>44.5</v>
      </c>
      <c r="Z418">
        <v>31.75</v>
      </c>
      <c r="AA418">
        <v>16.850000000000001</v>
      </c>
      <c r="AB418">
        <v>13.776999999999999</v>
      </c>
      <c r="AC418">
        <v>39.6</v>
      </c>
      <c r="AE418">
        <v>12</v>
      </c>
      <c r="AF418" t="s">
        <v>101</v>
      </c>
      <c r="AG418">
        <v>40</v>
      </c>
      <c r="AK418" t="s">
        <v>102</v>
      </c>
      <c r="AM418" t="s">
        <v>102</v>
      </c>
      <c r="AN418" t="s">
        <v>102</v>
      </c>
      <c r="AO418" t="s">
        <v>102</v>
      </c>
      <c r="AP418" t="s">
        <v>103</v>
      </c>
      <c r="AQ418" t="s">
        <v>104</v>
      </c>
      <c r="AV418" t="s">
        <v>102</v>
      </c>
      <c r="AX418" t="s">
        <v>266</v>
      </c>
      <c r="AZ418" t="s">
        <v>163</v>
      </c>
      <c r="BF418" t="s">
        <v>2068</v>
      </c>
      <c r="BG418" t="s">
        <v>102</v>
      </c>
      <c r="BH418" t="s">
        <v>102</v>
      </c>
      <c r="BI418" t="s">
        <v>102</v>
      </c>
      <c r="BQ418">
        <v>5</v>
      </c>
      <c r="BR418">
        <v>1.5</v>
      </c>
      <c r="BS418">
        <v>5</v>
      </c>
      <c r="BT418">
        <v>5</v>
      </c>
      <c r="CA418" t="s">
        <v>2067</v>
      </c>
      <c r="CB418" t="s">
        <v>266</v>
      </c>
      <c r="CL418" t="s">
        <v>102</v>
      </c>
      <c r="CM418" t="s">
        <v>102</v>
      </c>
      <c r="CN418" t="s">
        <v>726</v>
      </c>
      <c r="CO418" s="1">
        <v>41703</v>
      </c>
      <c r="CP418" s="1">
        <v>43634</v>
      </c>
    </row>
    <row r="419" spans="1:94" x14ac:dyDescent="0.25">
      <c r="A419" t="s">
        <v>2069</v>
      </c>
      <c r="B419" t="str">
        <f xml:space="preserve"> "" &amp; 840254041448</f>
        <v>840254041448</v>
      </c>
      <c r="C419" t="s">
        <v>740</v>
      </c>
      <c r="D419" t="s">
        <v>740</v>
      </c>
      <c r="F419" t="s">
        <v>98</v>
      </c>
      <c r="G419">
        <v>1</v>
      </c>
      <c r="H419">
        <v>1</v>
      </c>
      <c r="I419" t="s">
        <v>99</v>
      </c>
      <c r="J419" s="4">
        <v>425</v>
      </c>
      <c r="K419" s="4">
        <v>1275</v>
      </c>
      <c r="O419" t="s">
        <v>100</v>
      </c>
      <c r="P419" s="4">
        <v>894.95</v>
      </c>
      <c r="S419">
        <v>18</v>
      </c>
      <c r="U419">
        <v>21.25</v>
      </c>
      <c r="W419">
        <v>11</v>
      </c>
      <c r="X419">
        <v>1</v>
      </c>
      <c r="Y419">
        <v>20</v>
      </c>
      <c r="Z419">
        <v>27</v>
      </c>
      <c r="AA419">
        <v>27</v>
      </c>
      <c r="AB419">
        <v>8.4380000000000006</v>
      </c>
      <c r="AC419">
        <v>24</v>
      </c>
      <c r="AE419">
        <v>6</v>
      </c>
      <c r="AF419" t="s">
        <v>101</v>
      </c>
      <c r="AG419">
        <v>60</v>
      </c>
      <c r="AK419" t="s">
        <v>102</v>
      </c>
      <c r="AM419" t="s">
        <v>102</v>
      </c>
      <c r="AN419" t="s">
        <v>102</v>
      </c>
      <c r="AO419" t="s">
        <v>102</v>
      </c>
      <c r="AP419" t="s">
        <v>103</v>
      </c>
      <c r="AQ419" t="s">
        <v>104</v>
      </c>
      <c r="AV419" t="s">
        <v>102</v>
      </c>
      <c r="AZ419" t="s">
        <v>163</v>
      </c>
      <c r="BF419" t="s">
        <v>2070</v>
      </c>
      <c r="BG419" t="s">
        <v>102</v>
      </c>
      <c r="BH419" t="s">
        <v>102</v>
      </c>
      <c r="BI419" t="s">
        <v>102</v>
      </c>
      <c r="BK419" t="s">
        <v>107</v>
      </c>
      <c r="CA419" t="s">
        <v>2069</v>
      </c>
      <c r="CL419" t="s">
        <v>102</v>
      </c>
      <c r="CM419" t="s">
        <v>102</v>
      </c>
      <c r="CN419" t="s">
        <v>726</v>
      </c>
      <c r="CO419" s="1">
        <v>41703</v>
      </c>
      <c r="CP419" s="1">
        <v>43634</v>
      </c>
    </row>
    <row r="420" spans="1:94" x14ac:dyDescent="0.25">
      <c r="A420" t="s">
        <v>2071</v>
      </c>
      <c r="B420" t="str">
        <f xml:space="preserve"> "" &amp; 840254041974</f>
        <v>840254041974</v>
      </c>
      <c r="C420" t="s">
        <v>178</v>
      </c>
      <c r="D420" t="s">
        <v>178</v>
      </c>
      <c r="F420" t="s">
        <v>179</v>
      </c>
      <c r="G420">
        <v>1</v>
      </c>
      <c r="H420">
        <v>1</v>
      </c>
      <c r="I420" t="s">
        <v>99</v>
      </c>
      <c r="J420" s="4">
        <v>225</v>
      </c>
      <c r="K420" s="4">
        <v>675</v>
      </c>
      <c r="O420" t="s">
        <v>100</v>
      </c>
      <c r="P420" s="4">
        <v>474.95</v>
      </c>
      <c r="S420">
        <v>8.25</v>
      </c>
      <c r="U420">
        <v>7</v>
      </c>
      <c r="V420">
        <v>10</v>
      </c>
      <c r="W420">
        <v>4.4000000000000004</v>
      </c>
      <c r="X420">
        <v>1</v>
      </c>
      <c r="Y420">
        <v>17</v>
      </c>
      <c r="Z420">
        <v>22</v>
      </c>
      <c r="AA420">
        <v>22</v>
      </c>
      <c r="AB420">
        <v>4.7619999999999996</v>
      </c>
      <c r="AC420">
        <v>4.4000000000000004</v>
      </c>
      <c r="AE420">
        <v>2</v>
      </c>
      <c r="AF420" t="s">
        <v>1355</v>
      </c>
      <c r="AG420">
        <v>40</v>
      </c>
      <c r="AK420" t="s">
        <v>100</v>
      </c>
      <c r="AM420" t="s">
        <v>102</v>
      </c>
      <c r="AN420" t="s">
        <v>102</v>
      </c>
      <c r="AO420" t="s">
        <v>102</v>
      </c>
      <c r="AP420" t="s">
        <v>103</v>
      </c>
      <c r="AQ420" t="s">
        <v>104</v>
      </c>
      <c r="AV420" t="s">
        <v>102</v>
      </c>
      <c r="AZ420" t="s">
        <v>163</v>
      </c>
      <c r="BF420" t="s">
        <v>2072</v>
      </c>
      <c r="BG420" t="s">
        <v>102</v>
      </c>
      <c r="BH420" t="s">
        <v>102</v>
      </c>
      <c r="BI420" t="s">
        <v>102</v>
      </c>
      <c r="BK420" t="s">
        <v>107</v>
      </c>
      <c r="CA420" t="s">
        <v>2071</v>
      </c>
      <c r="CL420" t="s">
        <v>102</v>
      </c>
      <c r="CM420" t="s">
        <v>102</v>
      </c>
      <c r="CN420" t="s">
        <v>375</v>
      </c>
      <c r="CO420" s="1">
        <v>41760</v>
      </c>
      <c r="CP420" s="1">
        <v>43634</v>
      </c>
    </row>
    <row r="421" spans="1:94" x14ac:dyDescent="0.25">
      <c r="A421" t="s">
        <v>2073</v>
      </c>
      <c r="B421" t="str">
        <f xml:space="preserve"> "" &amp; 840254041455</f>
        <v>840254041455</v>
      </c>
      <c r="C421" t="s">
        <v>230</v>
      </c>
      <c r="D421" t="s">
        <v>230</v>
      </c>
      <c r="F421" t="s">
        <v>179</v>
      </c>
      <c r="G421">
        <v>1</v>
      </c>
      <c r="H421">
        <v>1</v>
      </c>
      <c r="I421" t="s">
        <v>99</v>
      </c>
      <c r="J421" s="4">
        <v>235</v>
      </c>
      <c r="K421" s="4">
        <v>705</v>
      </c>
      <c r="O421" t="s">
        <v>100</v>
      </c>
      <c r="P421" s="4">
        <v>494.95</v>
      </c>
      <c r="S421">
        <v>7.5</v>
      </c>
      <c r="T421">
        <v>11.5</v>
      </c>
      <c r="V421">
        <v>10.75</v>
      </c>
      <c r="W421">
        <v>2.2000000000000002</v>
      </c>
      <c r="X421">
        <v>1</v>
      </c>
      <c r="Y421">
        <v>22</v>
      </c>
      <c r="Z421">
        <v>22</v>
      </c>
      <c r="AA421">
        <v>22</v>
      </c>
      <c r="AB421">
        <v>6.1619999999999999</v>
      </c>
      <c r="AC421">
        <v>4.4000000000000004</v>
      </c>
      <c r="AE421">
        <v>3</v>
      </c>
      <c r="AF421" t="s">
        <v>1355</v>
      </c>
      <c r="AG421">
        <v>40</v>
      </c>
      <c r="AK421" t="s">
        <v>100</v>
      </c>
      <c r="AM421" t="s">
        <v>102</v>
      </c>
      <c r="AN421" t="s">
        <v>102</v>
      </c>
      <c r="AO421" t="s">
        <v>102</v>
      </c>
      <c r="AP421" t="s">
        <v>103</v>
      </c>
      <c r="AQ421" t="s">
        <v>104</v>
      </c>
      <c r="AV421" t="s">
        <v>102</v>
      </c>
      <c r="AX421" t="s">
        <v>266</v>
      </c>
      <c r="AZ421" t="s">
        <v>163</v>
      </c>
      <c r="BF421" t="s">
        <v>2074</v>
      </c>
      <c r="BG421" t="s">
        <v>102</v>
      </c>
      <c r="BH421" t="s">
        <v>102</v>
      </c>
      <c r="BI421" t="s">
        <v>102</v>
      </c>
      <c r="BK421" t="s">
        <v>107</v>
      </c>
      <c r="CA421" t="s">
        <v>2073</v>
      </c>
      <c r="CB421" t="s">
        <v>266</v>
      </c>
      <c r="CL421" t="s">
        <v>102</v>
      </c>
      <c r="CM421" t="s">
        <v>102</v>
      </c>
      <c r="CN421" t="s">
        <v>726</v>
      </c>
      <c r="CO421" s="1">
        <v>41703</v>
      </c>
      <c r="CP421" s="1">
        <v>43634</v>
      </c>
    </row>
    <row r="422" spans="1:94" x14ac:dyDescent="0.25">
      <c r="A422" t="s">
        <v>2075</v>
      </c>
      <c r="B422" t="str">
        <f xml:space="preserve"> "" &amp; 840254041462</f>
        <v>840254041462</v>
      </c>
      <c r="C422" t="s">
        <v>95</v>
      </c>
      <c r="D422" t="s">
        <v>95</v>
      </c>
      <c r="F422" t="s">
        <v>98</v>
      </c>
      <c r="G422">
        <v>1</v>
      </c>
      <c r="H422">
        <v>1</v>
      </c>
      <c r="I422" t="s">
        <v>99</v>
      </c>
      <c r="J422" s="4">
        <v>995</v>
      </c>
      <c r="K422" s="4">
        <v>2985</v>
      </c>
      <c r="O422" t="s">
        <v>100</v>
      </c>
      <c r="P422" s="4">
        <v>2089.9499999999998</v>
      </c>
      <c r="S422">
        <v>23</v>
      </c>
      <c r="T422">
        <v>24</v>
      </c>
      <c r="U422">
        <v>24</v>
      </c>
      <c r="W422">
        <v>13.01</v>
      </c>
      <c r="X422">
        <v>1</v>
      </c>
      <c r="Y422">
        <v>23</v>
      </c>
      <c r="Z422">
        <v>36</v>
      </c>
      <c r="AA422">
        <v>36</v>
      </c>
      <c r="AB422">
        <v>17.25</v>
      </c>
      <c r="AC422">
        <v>14.3</v>
      </c>
      <c r="AE422">
        <v>12</v>
      </c>
      <c r="AF422" t="s">
        <v>1355</v>
      </c>
      <c r="AG422">
        <v>25</v>
      </c>
      <c r="AK422" t="s">
        <v>100</v>
      </c>
      <c r="AM422" t="s">
        <v>102</v>
      </c>
      <c r="AN422" t="s">
        <v>102</v>
      </c>
      <c r="AO422" t="s">
        <v>102</v>
      </c>
      <c r="AP422" t="s">
        <v>103</v>
      </c>
      <c r="AQ422" t="s">
        <v>104</v>
      </c>
      <c r="AV422" t="s">
        <v>102</v>
      </c>
      <c r="AX422" t="s">
        <v>266</v>
      </c>
      <c r="AZ422" t="s">
        <v>163</v>
      </c>
      <c r="BC422" t="s">
        <v>275</v>
      </c>
      <c r="BF422" t="s">
        <v>2076</v>
      </c>
      <c r="BG422" t="s">
        <v>102</v>
      </c>
      <c r="BH422" t="s">
        <v>102</v>
      </c>
      <c r="BI422" t="s">
        <v>102</v>
      </c>
      <c r="BK422" t="s">
        <v>107</v>
      </c>
      <c r="BR422">
        <v>2.13</v>
      </c>
      <c r="BT422">
        <v>4.63</v>
      </c>
      <c r="CA422" t="s">
        <v>2075</v>
      </c>
      <c r="CB422" t="s">
        <v>266</v>
      </c>
      <c r="CL422" t="s">
        <v>102</v>
      </c>
      <c r="CM422" t="s">
        <v>102</v>
      </c>
      <c r="CN422" t="s">
        <v>726</v>
      </c>
      <c r="CO422" s="1">
        <v>41703</v>
      </c>
      <c r="CP422" s="1">
        <v>43634</v>
      </c>
    </row>
    <row r="423" spans="1:94" x14ac:dyDescent="0.25">
      <c r="A423" t="s">
        <v>2077</v>
      </c>
      <c r="B423" t="str">
        <f xml:space="preserve"> "" &amp; 840254041479</f>
        <v>840254041479</v>
      </c>
      <c r="C423" t="s">
        <v>111</v>
      </c>
      <c r="D423" t="s">
        <v>111</v>
      </c>
      <c r="F423" t="s">
        <v>98</v>
      </c>
      <c r="G423">
        <v>1</v>
      </c>
      <c r="H423">
        <v>1</v>
      </c>
      <c r="I423" t="s">
        <v>99</v>
      </c>
      <c r="J423" s="4">
        <v>695</v>
      </c>
      <c r="K423" s="4">
        <v>2085</v>
      </c>
      <c r="O423" t="s">
        <v>100</v>
      </c>
      <c r="P423" s="4">
        <v>1459.95</v>
      </c>
      <c r="S423">
        <v>21</v>
      </c>
      <c r="T423">
        <v>22</v>
      </c>
      <c r="U423">
        <v>22</v>
      </c>
      <c r="W423">
        <v>8.99</v>
      </c>
      <c r="X423">
        <v>1</v>
      </c>
      <c r="Y423">
        <v>21</v>
      </c>
      <c r="Z423">
        <v>36</v>
      </c>
      <c r="AA423">
        <v>36</v>
      </c>
      <c r="AB423">
        <v>15.75</v>
      </c>
      <c r="AC423">
        <v>21</v>
      </c>
      <c r="AE423">
        <v>8</v>
      </c>
      <c r="AF423" t="s">
        <v>1355</v>
      </c>
      <c r="AG423">
        <v>40</v>
      </c>
      <c r="AK423" t="s">
        <v>100</v>
      </c>
      <c r="AM423" t="s">
        <v>102</v>
      </c>
      <c r="AN423" t="s">
        <v>102</v>
      </c>
      <c r="AO423" t="s">
        <v>102</v>
      </c>
      <c r="AP423" t="s">
        <v>103</v>
      </c>
      <c r="AQ423" t="s">
        <v>104</v>
      </c>
      <c r="AV423" t="s">
        <v>102</v>
      </c>
      <c r="AX423" t="s">
        <v>266</v>
      </c>
      <c r="AZ423" t="s">
        <v>163</v>
      </c>
      <c r="BF423" t="s">
        <v>2078</v>
      </c>
      <c r="BG423" t="s">
        <v>102</v>
      </c>
      <c r="BH423" t="s">
        <v>102</v>
      </c>
      <c r="BI423" t="s">
        <v>102</v>
      </c>
      <c r="BK423" t="s">
        <v>107</v>
      </c>
      <c r="BR423">
        <v>1.5</v>
      </c>
      <c r="BT423">
        <v>5</v>
      </c>
      <c r="CA423" t="s">
        <v>2077</v>
      </c>
      <c r="CB423" t="s">
        <v>266</v>
      </c>
      <c r="CL423" t="s">
        <v>102</v>
      </c>
      <c r="CM423" t="s">
        <v>102</v>
      </c>
      <c r="CN423" t="s">
        <v>726</v>
      </c>
      <c r="CO423" s="1">
        <v>41703</v>
      </c>
      <c r="CP423" s="1">
        <v>43634</v>
      </c>
    </row>
    <row r="424" spans="1:94" x14ac:dyDescent="0.25">
      <c r="A424" t="s">
        <v>2079</v>
      </c>
      <c r="B424" t="str">
        <f xml:space="preserve"> "" &amp; 840254041486</f>
        <v>840254041486</v>
      </c>
      <c r="C424" t="s">
        <v>2080</v>
      </c>
      <c r="D424" t="s">
        <v>2080</v>
      </c>
      <c r="F424" t="s">
        <v>98</v>
      </c>
      <c r="G424">
        <v>1</v>
      </c>
      <c r="H424">
        <v>1</v>
      </c>
      <c r="I424" t="s">
        <v>99</v>
      </c>
      <c r="J424" s="4">
        <v>1995</v>
      </c>
      <c r="K424" s="4">
        <v>5985</v>
      </c>
      <c r="O424" t="s">
        <v>100</v>
      </c>
      <c r="P424" s="4">
        <v>4189.95</v>
      </c>
      <c r="S424">
        <v>24.5</v>
      </c>
      <c r="T424">
        <v>37</v>
      </c>
      <c r="U424">
        <v>37</v>
      </c>
      <c r="W424">
        <v>34</v>
      </c>
      <c r="X424">
        <v>1</v>
      </c>
      <c r="Y424">
        <v>40.5</v>
      </c>
      <c r="Z424">
        <v>36</v>
      </c>
      <c r="AA424">
        <v>20.76</v>
      </c>
      <c r="AB424">
        <v>17.515999999999998</v>
      </c>
      <c r="AC424">
        <v>57.2</v>
      </c>
      <c r="AE424">
        <v>32</v>
      </c>
      <c r="AF424" t="s">
        <v>1355</v>
      </c>
      <c r="AG424">
        <v>25</v>
      </c>
      <c r="AK424" t="s">
        <v>100</v>
      </c>
      <c r="AM424" t="s">
        <v>102</v>
      </c>
      <c r="AN424" t="s">
        <v>102</v>
      </c>
      <c r="AO424" t="s">
        <v>102</v>
      </c>
      <c r="AP424" t="s">
        <v>103</v>
      </c>
      <c r="AQ424" t="s">
        <v>104</v>
      </c>
      <c r="AV424" t="s">
        <v>102</v>
      </c>
      <c r="AX424" t="s">
        <v>266</v>
      </c>
      <c r="AZ424" t="s">
        <v>163</v>
      </c>
      <c r="BB424" t="s">
        <v>118</v>
      </c>
      <c r="BC424" t="s">
        <v>275</v>
      </c>
      <c r="BF424" t="s">
        <v>2081</v>
      </c>
      <c r="BG424" t="s">
        <v>102</v>
      </c>
      <c r="BH424" t="s">
        <v>102</v>
      </c>
      <c r="BI424" t="s">
        <v>102</v>
      </c>
      <c r="BR424">
        <v>1.75</v>
      </c>
      <c r="BT424">
        <v>6.63</v>
      </c>
      <c r="CA424" t="s">
        <v>2079</v>
      </c>
      <c r="CB424" t="s">
        <v>266</v>
      </c>
      <c r="CL424" t="s">
        <v>102</v>
      </c>
      <c r="CM424" t="s">
        <v>102</v>
      </c>
      <c r="CN424" t="s">
        <v>726</v>
      </c>
      <c r="CO424" s="1">
        <v>41703</v>
      </c>
      <c r="CP424" s="1">
        <v>43634</v>
      </c>
    </row>
    <row r="425" spans="1:94" x14ac:dyDescent="0.25">
      <c r="A425" t="s">
        <v>2082</v>
      </c>
      <c r="B425" t="str">
        <f xml:space="preserve"> "" &amp; 840254041516</f>
        <v>840254041516</v>
      </c>
      <c r="C425" t="s">
        <v>95</v>
      </c>
      <c r="D425" t="s">
        <v>95</v>
      </c>
      <c r="F425" t="s">
        <v>98</v>
      </c>
      <c r="G425">
        <v>1</v>
      </c>
      <c r="H425">
        <v>1</v>
      </c>
      <c r="I425" t="s">
        <v>99</v>
      </c>
      <c r="J425" s="4">
        <v>1295</v>
      </c>
      <c r="K425" s="4">
        <v>3885</v>
      </c>
      <c r="O425" t="s">
        <v>100</v>
      </c>
      <c r="P425" s="4">
        <v>2719.95</v>
      </c>
      <c r="S425">
        <v>34.75</v>
      </c>
      <c r="U425">
        <v>35.5</v>
      </c>
      <c r="W425">
        <v>30.8</v>
      </c>
      <c r="X425">
        <v>1</v>
      </c>
      <c r="Y425">
        <v>23</v>
      </c>
      <c r="Z425">
        <v>36</v>
      </c>
      <c r="AA425">
        <v>36</v>
      </c>
      <c r="AB425">
        <v>17.25</v>
      </c>
      <c r="AC425">
        <v>59</v>
      </c>
      <c r="AE425">
        <v>12</v>
      </c>
      <c r="AF425" t="s">
        <v>101</v>
      </c>
      <c r="AG425">
        <v>60</v>
      </c>
      <c r="AK425" t="s">
        <v>102</v>
      </c>
      <c r="AM425" t="s">
        <v>102</v>
      </c>
      <c r="AN425" t="s">
        <v>102</v>
      </c>
      <c r="AO425" t="s">
        <v>102</v>
      </c>
      <c r="AP425" t="s">
        <v>103</v>
      </c>
      <c r="AQ425" t="s">
        <v>104</v>
      </c>
      <c r="AV425" t="s">
        <v>102</v>
      </c>
      <c r="AZ425" t="s">
        <v>163</v>
      </c>
      <c r="BF425" t="s">
        <v>2083</v>
      </c>
      <c r="BG425" t="s">
        <v>102</v>
      </c>
      <c r="BH425" t="s">
        <v>102</v>
      </c>
      <c r="BI425" t="s">
        <v>102</v>
      </c>
      <c r="CA425" t="s">
        <v>2082</v>
      </c>
      <c r="CL425" t="s">
        <v>102</v>
      </c>
      <c r="CM425" t="s">
        <v>102</v>
      </c>
      <c r="CN425" t="s">
        <v>726</v>
      </c>
      <c r="CO425" s="1">
        <v>41703</v>
      </c>
      <c r="CP425" s="1">
        <v>43634</v>
      </c>
    </row>
    <row r="426" spans="1:94" x14ac:dyDescent="0.25">
      <c r="A426" t="s">
        <v>2084</v>
      </c>
      <c r="B426" t="str">
        <f xml:space="preserve"> "" &amp; 840254029422</f>
        <v>840254029422</v>
      </c>
      <c r="C426" t="s">
        <v>178</v>
      </c>
      <c r="D426" t="s">
        <v>178</v>
      </c>
      <c r="F426" t="s">
        <v>179</v>
      </c>
      <c r="G426">
        <v>1</v>
      </c>
      <c r="H426">
        <v>1</v>
      </c>
      <c r="I426" t="s">
        <v>99</v>
      </c>
      <c r="J426" s="4">
        <v>995</v>
      </c>
      <c r="K426" s="4">
        <v>2985</v>
      </c>
      <c r="O426" t="s">
        <v>100</v>
      </c>
      <c r="P426" s="4">
        <v>2089.9499999999998</v>
      </c>
      <c r="S426">
        <v>24</v>
      </c>
      <c r="U426">
        <v>12.75</v>
      </c>
      <c r="V426">
        <v>7</v>
      </c>
      <c r="W426">
        <v>18</v>
      </c>
      <c r="X426">
        <v>1</v>
      </c>
      <c r="Y426">
        <v>16</v>
      </c>
      <c r="Z426">
        <v>24</v>
      </c>
      <c r="AA426">
        <v>16</v>
      </c>
      <c r="AB426">
        <v>3.556</v>
      </c>
      <c r="AC426">
        <v>15.43</v>
      </c>
      <c r="AE426">
        <v>2</v>
      </c>
      <c r="AF426" t="s">
        <v>383</v>
      </c>
      <c r="AG426">
        <v>60</v>
      </c>
      <c r="AK426" t="s">
        <v>102</v>
      </c>
      <c r="AL426">
        <v>2</v>
      </c>
      <c r="AM426" t="s">
        <v>102</v>
      </c>
      <c r="AN426" t="s">
        <v>102</v>
      </c>
      <c r="AO426" t="s">
        <v>102</v>
      </c>
      <c r="AP426" t="s">
        <v>117</v>
      </c>
      <c r="AQ426" t="s">
        <v>104</v>
      </c>
      <c r="AV426" t="s">
        <v>102</v>
      </c>
      <c r="AX426" t="s">
        <v>297</v>
      </c>
      <c r="AZ426" t="s">
        <v>163</v>
      </c>
      <c r="BF426" t="s">
        <v>2085</v>
      </c>
      <c r="BG426" t="s">
        <v>102</v>
      </c>
      <c r="BH426" t="s">
        <v>102</v>
      </c>
      <c r="BI426" t="s">
        <v>102</v>
      </c>
      <c r="CA426" t="s">
        <v>2084</v>
      </c>
      <c r="CB426" t="s">
        <v>297</v>
      </c>
      <c r="CL426" t="s">
        <v>102</v>
      </c>
      <c r="CM426" t="s">
        <v>102</v>
      </c>
      <c r="CO426" s="1">
        <v>38747</v>
      </c>
      <c r="CP426" s="1">
        <v>43634</v>
      </c>
    </row>
    <row r="427" spans="1:94" x14ac:dyDescent="0.25">
      <c r="A427" t="s">
        <v>2086</v>
      </c>
      <c r="B427" t="str">
        <f xml:space="preserve"> "" &amp; 840254029439</f>
        <v>840254029439</v>
      </c>
      <c r="C427" t="s">
        <v>377</v>
      </c>
      <c r="D427" t="s">
        <v>2087</v>
      </c>
      <c r="F427" t="s">
        <v>371</v>
      </c>
      <c r="G427">
        <v>1</v>
      </c>
      <c r="H427">
        <v>1</v>
      </c>
      <c r="I427" t="s">
        <v>99</v>
      </c>
      <c r="J427" s="4">
        <v>3295</v>
      </c>
      <c r="K427" s="4">
        <v>9885</v>
      </c>
      <c r="O427" t="s">
        <v>100</v>
      </c>
      <c r="P427" s="4">
        <v>6919.95</v>
      </c>
      <c r="S427">
        <v>44</v>
      </c>
      <c r="U427">
        <v>24</v>
      </c>
      <c r="W427">
        <v>62</v>
      </c>
      <c r="X427">
        <v>1</v>
      </c>
      <c r="Y427">
        <v>51.97</v>
      </c>
      <c r="Z427">
        <v>28.35</v>
      </c>
      <c r="AA427">
        <v>28.35</v>
      </c>
      <c r="AB427">
        <v>24.172000000000001</v>
      </c>
      <c r="AC427">
        <v>77</v>
      </c>
      <c r="AE427">
        <v>9</v>
      </c>
      <c r="AF427" t="s">
        <v>383</v>
      </c>
      <c r="AG427">
        <v>60</v>
      </c>
      <c r="AK427" t="s">
        <v>102</v>
      </c>
      <c r="AM427" t="s">
        <v>102</v>
      </c>
      <c r="AN427" t="s">
        <v>102</v>
      </c>
      <c r="AO427" t="s">
        <v>102</v>
      </c>
      <c r="AP427" t="s">
        <v>103</v>
      </c>
      <c r="AQ427" t="s">
        <v>104</v>
      </c>
      <c r="AV427" t="s">
        <v>102</v>
      </c>
      <c r="AX427" t="s">
        <v>297</v>
      </c>
      <c r="AZ427" t="s">
        <v>163</v>
      </c>
      <c r="BF427" t="s">
        <v>2088</v>
      </c>
      <c r="BG427" t="s">
        <v>102</v>
      </c>
      <c r="BH427" t="s">
        <v>102</v>
      </c>
      <c r="BI427" t="s">
        <v>102</v>
      </c>
      <c r="CA427" t="s">
        <v>2086</v>
      </c>
      <c r="CB427" t="s">
        <v>297</v>
      </c>
      <c r="CL427" t="s">
        <v>102</v>
      </c>
      <c r="CM427" t="s">
        <v>102</v>
      </c>
      <c r="CO427" s="1">
        <v>38747</v>
      </c>
      <c r="CP427" s="1">
        <v>43634</v>
      </c>
    </row>
    <row r="428" spans="1:94" x14ac:dyDescent="0.25">
      <c r="A428" t="s">
        <v>2089</v>
      </c>
      <c r="B428" t="str">
        <f xml:space="preserve"> "" &amp; 840254032071</f>
        <v>840254032071</v>
      </c>
      <c r="C428" t="s">
        <v>1130</v>
      </c>
      <c r="D428" t="s">
        <v>2090</v>
      </c>
      <c r="F428" t="s">
        <v>371</v>
      </c>
      <c r="G428">
        <v>1</v>
      </c>
      <c r="H428">
        <v>1</v>
      </c>
      <c r="I428" t="s">
        <v>99</v>
      </c>
      <c r="J428" s="4">
        <v>3895</v>
      </c>
      <c r="K428" s="4">
        <v>11685</v>
      </c>
      <c r="O428" t="s">
        <v>100</v>
      </c>
      <c r="P428" s="4">
        <v>8179.95</v>
      </c>
      <c r="S428">
        <v>37.5</v>
      </c>
      <c r="U428">
        <v>21.5</v>
      </c>
      <c r="W428">
        <v>79.37</v>
      </c>
      <c r="X428">
        <v>1</v>
      </c>
      <c r="Y428">
        <v>44.08</v>
      </c>
      <c r="Z428">
        <v>28.34</v>
      </c>
      <c r="AA428">
        <v>28.34</v>
      </c>
      <c r="AB428">
        <v>20.488</v>
      </c>
      <c r="AC428">
        <v>97</v>
      </c>
      <c r="AE428">
        <v>10</v>
      </c>
      <c r="AF428" t="s">
        <v>101</v>
      </c>
      <c r="AG428">
        <v>40</v>
      </c>
      <c r="AK428" t="s">
        <v>102</v>
      </c>
      <c r="AM428" t="s">
        <v>102</v>
      </c>
      <c r="AN428" t="s">
        <v>102</v>
      </c>
      <c r="AO428" t="s">
        <v>102</v>
      </c>
      <c r="AP428" t="s">
        <v>103</v>
      </c>
      <c r="AQ428" t="s">
        <v>104</v>
      </c>
      <c r="AV428" t="s">
        <v>102</v>
      </c>
      <c r="AZ428" t="s">
        <v>163</v>
      </c>
      <c r="BF428" t="s">
        <v>2091</v>
      </c>
      <c r="BG428" t="s">
        <v>102</v>
      </c>
      <c r="BH428" t="s">
        <v>102</v>
      </c>
      <c r="BI428" t="s">
        <v>102</v>
      </c>
      <c r="BK428" t="s">
        <v>107</v>
      </c>
      <c r="CA428" t="s">
        <v>2089</v>
      </c>
      <c r="CL428" t="s">
        <v>102</v>
      </c>
      <c r="CM428" t="s">
        <v>102</v>
      </c>
      <c r="CN428" t="s">
        <v>375</v>
      </c>
      <c r="CO428" s="1">
        <v>41760</v>
      </c>
      <c r="CP428" s="1">
        <v>43634</v>
      </c>
    </row>
    <row r="429" spans="1:94" x14ac:dyDescent="0.25">
      <c r="A429" t="s">
        <v>2092</v>
      </c>
      <c r="B429" t="str">
        <f xml:space="preserve"> "" &amp; 840254032057</f>
        <v>840254032057</v>
      </c>
      <c r="C429" t="s">
        <v>401</v>
      </c>
      <c r="D429" t="s">
        <v>2093</v>
      </c>
      <c r="F429" t="s">
        <v>371</v>
      </c>
      <c r="G429">
        <v>1</v>
      </c>
      <c r="H429">
        <v>1</v>
      </c>
      <c r="I429" t="s">
        <v>99</v>
      </c>
      <c r="J429" s="4">
        <v>5995</v>
      </c>
      <c r="K429" s="4">
        <v>17985</v>
      </c>
      <c r="O429" t="s">
        <v>100</v>
      </c>
      <c r="P429" s="4">
        <v>12589.95</v>
      </c>
      <c r="S429">
        <v>58.5</v>
      </c>
      <c r="T429">
        <v>30</v>
      </c>
      <c r="U429">
        <v>30</v>
      </c>
      <c r="W429">
        <v>136.4</v>
      </c>
      <c r="X429">
        <v>1</v>
      </c>
      <c r="Y429">
        <v>75</v>
      </c>
      <c r="Z429">
        <v>51</v>
      </c>
      <c r="AA429">
        <v>51</v>
      </c>
      <c r="AB429">
        <v>112.89100000000001</v>
      </c>
      <c r="AC429">
        <v>136.4</v>
      </c>
      <c r="AE429">
        <v>12</v>
      </c>
      <c r="AF429" t="s">
        <v>2094</v>
      </c>
      <c r="AG429">
        <v>40</v>
      </c>
      <c r="AK429" t="s">
        <v>102</v>
      </c>
      <c r="AM429" t="s">
        <v>102</v>
      </c>
      <c r="AN429" t="s">
        <v>102</v>
      </c>
      <c r="AO429" t="s">
        <v>102</v>
      </c>
      <c r="AP429" t="s">
        <v>103</v>
      </c>
      <c r="AQ429" t="s">
        <v>104</v>
      </c>
      <c r="AV429" t="s">
        <v>102</v>
      </c>
      <c r="AX429" t="s">
        <v>297</v>
      </c>
      <c r="AZ429" t="s">
        <v>163</v>
      </c>
      <c r="BB429" t="s">
        <v>361</v>
      </c>
      <c r="BC429" t="s">
        <v>2095</v>
      </c>
      <c r="BF429" t="s">
        <v>2096</v>
      </c>
      <c r="BG429" t="s">
        <v>102</v>
      </c>
      <c r="BH429" t="s">
        <v>102</v>
      </c>
      <c r="BI429" t="s">
        <v>102</v>
      </c>
      <c r="BK429" t="s">
        <v>107</v>
      </c>
      <c r="CA429" t="s">
        <v>2092</v>
      </c>
      <c r="CB429" t="s">
        <v>297</v>
      </c>
      <c r="CL429" t="s">
        <v>102</v>
      </c>
      <c r="CM429" t="s">
        <v>102</v>
      </c>
      <c r="CN429" t="s">
        <v>375</v>
      </c>
      <c r="CO429" s="1">
        <v>41760</v>
      </c>
      <c r="CP429" s="1">
        <v>43634</v>
      </c>
    </row>
    <row r="430" spans="1:94" x14ac:dyDescent="0.25">
      <c r="A430" t="s">
        <v>2097</v>
      </c>
      <c r="B430" t="str">
        <f xml:space="preserve"> "" &amp; 840254041523</f>
        <v>840254041523</v>
      </c>
      <c r="C430" t="s">
        <v>230</v>
      </c>
      <c r="D430" t="s">
        <v>230</v>
      </c>
      <c r="F430" t="s">
        <v>179</v>
      </c>
      <c r="G430">
        <v>1</v>
      </c>
      <c r="H430">
        <v>1</v>
      </c>
      <c r="I430" t="s">
        <v>99</v>
      </c>
      <c r="J430" s="4">
        <v>275</v>
      </c>
      <c r="K430" s="4">
        <v>825</v>
      </c>
      <c r="O430" t="s">
        <v>100</v>
      </c>
      <c r="P430" s="4">
        <v>579.95000000000005</v>
      </c>
      <c r="S430">
        <v>14.5</v>
      </c>
      <c r="U430">
        <v>8.5</v>
      </c>
      <c r="V430">
        <v>9</v>
      </c>
      <c r="W430">
        <v>6.6</v>
      </c>
      <c r="X430">
        <v>1</v>
      </c>
      <c r="Y430">
        <v>23</v>
      </c>
      <c r="Z430">
        <v>27</v>
      </c>
      <c r="AA430">
        <v>27</v>
      </c>
      <c r="AB430">
        <v>9.7029999999999994</v>
      </c>
      <c r="AC430">
        <v>6.6</v>
      </c>
      <c r="AE430">
        <v>3</v>
      </c>
      <c r="AF430" t="s">
        <v>1355</v>
      </c>
      <c r="AG430">
        <v>40</v>
      </c>
      <c r="AK430" t="s">
        <v>100</v>
      </c>
      <c r="AM430" t="s">
        <v>102</v>
      </c>
      <c r="AN430" t="s">
        <v>102</v>
      </c>
      <c r="AO430" t="s">
        <v>102</v>
      </c>
      <c r="AP430" t="s">
        <v>103</v>
      </c>
      <c r="AQ430" t="s">
        <v>104</v>
      </c>
      <c r="AV430" t="s">
        <v>102</v>
      </c>
      <c r="AZ430" t="s">
        <v>163</v>
      </c>
      <c r="BF430" t="s">
        <v>2098</v>
      </c>
      <c r="BG430" t="s">
        <v>102</v>
      </c>
      <c r="BH430" t="s">
        <v>102</v>
      </c>
      <c r="BI430" t="s">
        <v>102</v>
      </c>
      <c r="BK430" t="s">
        <v>107</v>
      </c>
      <c r="CA430" t="s">
        <v>2097</v>
      </c>
      <c r="CL430" t="s">
        <v>102</v>
      </c>
      <c r="CM430" t="s">
        <v>102</v>
      </c>
      <c r="CN430" t="s">
        <v>726</v>
      </c>
      <c r="CO430" s="1">
        <v>41703</v>
      </c>
      <c r="CP430" s="1">
        <v>43634</v>
      </c>
    </row>
    <row r="431" spans="1:94" x14ac:dyDescent="0.25">
      <c r="A431" t="s">
        <v>2099</v>
      </c>
      <c r="B431" t="str">
        <f xml:space="preserve"> "" &amp; 840254035171</f>
        <v>840254035171</v>
      </c>
      <c r="C431" t="s">
        <v>2100</v>
      </c>
      <c r="D431" t="s">
        <v>230</v>
      </c>
      <c r="F431" t="s">
        <v>179</v>
      </c>
      <c r="G431">
        <v>1</v>
      </c>
      <c r="H431">
        <v>1</v>
      </c>
      <c r="I431" t="s">
        <v>99</v>
      </c>
      <c r="J431" s="4">
        <v>1395</v>
      </c>
      <c r="K431" s="4">
        <v>4185</v>
      </c>
      <c r="O431" t="s">
        <v>100</v>
      </c>
      <c r="P431" s="4">
        <v>2929.95</v>
      </c>
      <c r="S431">
        <v>25.75</v>
      </c>
      <c r="U431">
        <v>12.75</v>
      </c>
      <c r="V431">
        <v>6.5</v>
      </c>
      <c r="W431">
        <v>15.43</v>
      </c>
      <c r="X431">
        <v>1</v>
      </c>
      <c r="Y431">
        <v>20.5</v>
      </c>
      <c r="Z431">
        <v>36.5</v>
      </c>
      <c r="AA431">
        <v>20.5</v>
      </c>
      <c r="AB431">
        <v>8.8770000000000007</v>
      </c>
      <c r="AC431">
        <v>22.05</v>
      </c>
      <c r="AE431">
        <v>3</v>
      </c>
      <c r="AF431" t="s">
        <v>176</v>
      </c>
      <c r="AG431">
        <v>60</v>
      </c>
      <c r="AK431" t="s">
        <v>102</v>
      </c>
      <c r="AM431" t="s">
        <v>102</v>
      </c>
      <c r="AN431" t="s">
        <v>100</v>
      </c>
      <c r="AO431" t="s">
        <v>102</v>
      </c>
      <c r="AP431" t="s">
        <v>103</v>
      </c>
      <c r="AQ431" t="s">
        <v>104</v>
      </c>
      <c r="AV431" t="s">
        <v>102</v>
      </c>
      <c r="AZ431" t="s">
        <v>163</v>
      </c>
      <c r="BB431" t="s">
        <v>118</v>
      </c>
      <c r="BC431" t="s">
        <v>275</v>
      </c>
      <c r="BF431" t="s">
        <v>2101</v>
      </c>
      <c r="BG431" t="s">
        <v>102</v>
      </c>
      <c r="BH431" t="s">
        <v>102</v>
      </c>
      <c r="BI431" t="s">
        <v>102</v>
      </c>
      <c r="BK431" t="s">
        <v>107</v>
      </c>
      <c r="CA431" t="s">
        <v>2099</v>
      </c>
      <c r="CL431" t="s">
        <v>100</v>
      </c>
      <c r="CM431" t="s">
        <v>102</v>
      </c>
      <c r="CN431" t="s">
        <v>724</v>
      </c>
      <c r="CO431" s="1">
        <v>39967</v>
      </c>
      <c r="CP431" s="1">
        <v>43634</v>
      </c>
    </row>
    <row r="432" spans="1:94" x14ac:dyDescent="0.25">
      <c r="A432" t="s">
        <v>2102</v>
      </c>
      <c r="B432" t="str">
        <f xml:space="preserve"> "" &amp; 840254036666</f>
        <v>840254036666</v>
      </c>
      <c r="C432" t="s">
        <v>401</v>
      </c>
      <c r="D432" t="s">
        <v>401</v>
      </c>
      <c r="F432" t="s">
        <v>371</v>
      </c>
      <c r="G432">
        <v>1</v>
      </c>
      <c r="H432">
        <v>1</v>
      </c>
      <c r="I432" t="s">
        <v>99</v>
      </c>
      <c r="J432" s="4">
        <v>7995</v>
      </c>
      <c r="K432" s="4">
        <v>23985</v>
      </c>
      <c r="O432" t="s">
        <v>100</v>
      </c>
      <c r="P432" s="4">
        <v>16789.95</v>
      </c>
      <c r="S432">
        <v>61.5</v>
      </c>
      <c r="U432">
        <v>33.25</v>
      </c>
      <c r="W432">
        <v>88.18</v>
      </c>
      <c r="X432">
        <v>1</v>
      </c>
      <c r="Y432">
        <v>65</v>
      </c>
      <c r="Z432">
        <v>37.4</v>
      </c>
      <c r="AA432">
        <v>37.4</v>
      </c>
      <c r="AB432">
        <v>52.615000000000002</v>
      </c>
      <c r="AC432">
        <v>101.41</v>
      </c>
      <c r="AE432">
        <v>12</v>
      </c>
      <c r="AG432">
        <v>40</v>
      </c>
      <c r="AK432" t="s">
        <v>102</v>
      </c>
      <c r="AM432" t="s">
        <v>102</v>
      </c>
      <c r="AN432" t="s">
        <v>102</v>
      </c>
      <c r="AO432" t="s">
        <v>100</v>
      </c>
      <c r="AP432" t="s">
        <v>103</v>
      </c>
      <c r="AQ432" t="s">
        <v>104</v>
      </c>
      <c r="AV432" t="s">
        <v>102</v>
      </c>
      <c r="AZ432" t="s">
        <v>163</v>
      </c>
      <c r="BF432" t="s">
        <v>2103</v>
      </c>
      <c r="BG432" t="s">
        <v>102</v>
      </c>
      <c r="BH432" t="s">
        <v>102</v>
      </c>
      <c r="BI432" t="s">
        <v>102</v>
      </c>
      <c r="BK432" t="s">
        <v>107</v>
      </c>
      <c r="CA432" t="s">
        <v>2102</v>
      </c>
      <c r="CL432" t="s">
        <v>102</v>
      </c>
      <c r="CM432" t="s">
        <v>102</v>
      </c>
      <c r="CN432" t="s">
        <v>724</v>
      </c>
      <c r="CO432" s="1">
        <v>40290</v>
      </c>
      <c r="CP432" s="1">
        <v>43634</v>
      </c>
    </row>
    <row r="433" spans="1:94" x14ac:dyDescent="0.25">
      <c r="A433" t="s">
        <v>2104</v>
      </c>
      <c r="B433" t="str">
        <f xml:space="preserve"> "" &amp; 840254027022</f>
        <v>840254027022</v>
      </c>
      <c r="C433" t="s">
        <v>852</v>
      </c>
      <c r="D433" t="s">
        <v>2105</v>
      </c>
      <c r="F433" t="s">
        <v>98</v>
      </c>
      <c r="G433">
        <v>1</v>
      </c>
      <c r="H433">
        <v>1</v>
      </c>
      <c r="I433" t="s">
        <v>99</v>
      </c>
      <c r="J433" s="4">
        <v>8200</v>
      </c>
      <c r="K433" s="4">
        <v>24600</v>
      </c>
      <c r="O433" t="s">
        <v>100</v>
      </c>
      <c r="P433" s="4">
        <v>17219.95</v>
      </c>
      <c r="S433">
        <v>64</v>
      </c>
      <c r="U433">
        <v>51</v>
      </c>
      <c r="W433">
        <v>171</v>
      </c>
      <c r="X433">
        <v>1</v>
      </c>
      <c r="Y433">
        <v>64.58</v>
      </c>
      <c r="Z433">
        <v>61.42</v>
      </c>
      <c r="AA433">
        <v>61.42</v>
      </c>
      <c r="AB433">
        <v>140.98500000000001</v>
      </c>
      <c r="AC433">
        <v>128</v>
      </c>
      <c r="AE433">
        <v>24</v>
      </c>
      <c r="AF433" t="s">
        <v>383</v>
      </c>
      <c r="AG433">
        <v>40</v>
      </c>
      <c r="AK433" t="s">
        <v>102</v>
      </c>
      <c r="AL433">
        <v>24</v>
      </c>
      <c r="AM433" t="s">
        <v>102</v>
      </c>
      <c r="AN433" t="s">
        <v>102</v>
      </c>
      <c r="AO433" t="s">
        <v>102</v>
      </c>
      <c r="AP433" t="s">
        <v>103</v>
      </c>
      <c r="AQ433" t="s">
        <v>104</v>
      </c>
      <c r="AV433" t="s">
        <v>102</v>
      </c>
      <c r="AZ433" t="s">
        <v>163</v>
      </c>
      <c r="BD433" t="s">
        <v>2106</v>
      </c>
      <c r="BF433" t="s">
        <v>2107</v>
      </c>
      <c r="BG433" t="s">
        <v>102</v>
      </c>
      <c r="BH433" t="s">
        <v>102</v>
      </c>
      <c r="BI433" t="s">
        <v>102</v>
      </c>
      <c r="BK433" t="s">
        <v>107</v>
      </c>
      <c r="CA433" t="s">
        <v>2104</v>
      </c>
      <c r="CL433" t="s">
        <v>102</v>
      </c>
      <c r="CM433" t="s">
        <v>102</v>
      </c>
      <c r="CO433" s="1">
        <v>39706</v>
      </c>
      <c r="CP433" s="1">
        <v>43634</v>
      </c>
    </row>
    <row r="434" spans="1:94" x14ac:dyDescent="0.25">
      <c r="A434" t="s">
        <v>2108</v>
      </c>
      <c r="B434" t="str">
        <f xml:space="preserve"> "" &amp; 840254045255</f>
        <v>840254045255</v>
      </c>
      <c r="C434" t="s">
        <v>2109</v>
      </c>
      <c r="D434" t="s">
        <v>2110</v>
      </c>
      <c r="F434" t="s">
        <v>98</v>
      </c>
      <c r="G434">
        <v>1</v>
      </c>
      <c r="H434">
        <v>1</v>
      </c>
      <c r="I434" t="s">
        <v>99</v>
      </c>
      <c r="J434" s="4">
        <v>5500</v>
      </c>
      <c r="K434" s="4">
        <v>16500</v>
      </c>
      <c r="O434" t="s">
        <v>100</v>
      </c>
      <c r="P434" s="4">
        <v>11549.95</v>
      </c>
      <c r="S434">
        <v>58</v>
      </c>
      <c r="T434">
        <v>47.25</v>
      </c>
      <c r="U434">
        <v>47.25</v>
      </c>
      <c r="W434">
        <v>195.31</v>
      </c>
      <c r="X434">
        <v>2</v>
      </c>
      <c r="Y434">
        <v>21</v>
      </c>
      <c r="Z434">
        <v>27</v>
      </c>
      <c r="AA434">
        <v>40</v>
      </c>
      <c r="AB434">
        <v>13.125</v>
      </c>
      <c r="AC434">
        <v>195.51</v>
      </c>
      <c r="AE434">
        <v>24</v>
      </c>
      <c r="AF434" t="s">
        <v>2111</v>
      </c>
      <c r="AG434">
        <v>60</v>
      </c>
      <c r="AH434">
        <v>1</v>
      </c>
      <c r="AI434" t="s">
        <v>2111</v>
      </c>
      <c r="AJ434">
        <v>40</v>
      </c>
      <c r="AK434" t="s">
        <v>102</v>
      </c>
      <c r="AM434" t="s">
        <v>102</v>
      </c>
      <c r="AN434" t="s">
        <v>102</v>
      </c>
      <c r="AO434" t="s">
        <v>102</v>
      </c>
      <c r="AP434" t="s">
        <v>103</v>
      </c>
      <c r="AQ434" t="s">
        <v>104</v>
      </c>
      <c r="AV434" t="s">
        <v>102</v>
      </c>
      <c r="AX434" t="s">
        <v>268</v>
      </c>
      <c r="AZ434" t="s">
        <v>622</v>
      </c>
      <c r="BC434" t="s">
        <v>275</v>
      </c>
      <c r="BF434" t="s">
        <v>2112</v>
      </c>
      <c r="BG434" t="s">
        <v>102</v>
      </c>
      <c r="BH434" t="s">
        <v>102</v>
      </c>
      <c r="BI434" t="s">
        <v>102</v>
      </c>
      <c r="BR434">
        <v>3.22</v>
      </c>
      <c r="BS434">
        <v>9.56</v>
      </c>
      <c r="BT434">
        <v>9.56</v>
      </c>
      <c r="CB434" t="s">
        <v>268</v>
      </c>
      <c r="CL434" t="s">
        <v>102</v>
      </c>
      <c r="CM434" t="s">
        <v>102</v>
      </c>
      <c r="CO434" s="1">
        <v>42205</v>
      </c>
      <c r="CP434" s="1">
        <v>43634</v>
      </c>
    </row>
    <row r="435" spans="1:94" x14ac:dyDescent="0.25">
      <c r="A435" t="s">
        <v>2113</v>
      </c>
      <c r="B435" t="str">
        <f xml:space="preserve"> "" &amp; 840254045262</f>
        <v>840254045262</v>
      </c>
      <c r="C435" t="s">
        <v>1535</v>
      </c>
      <c r="D435" t="s">
        <v>171</v>
      </c>
      <c r="F435" t="s">
        <v>98</v>
      </c>
      <c r="G435">
        <v>1</v>
      </c>
      <c r="H435">
        <v>1</v>
      </c>
      <c r="I435" t="s">
        <v>99</v>
      </c>
      <c r="J435" s="4">
        <v>3695</v>
      </c>
      <c r="K435" s="4">
        <v>11085</v>
      </c>
      <c r="O435" t="s">
        <v>100</v>
      </c>
      <c r="P435" s="4">
        <v>7759.95</v>
      </c>
      <c r="S435">
        <v>38.880000000000003</v>
      </c>
      <c r="T435">
        <v>47.23</v>
      </c>
      <c r="U435">
        <v>47.23</v>
      </c>
      <c r="W435">
        <v>133.88999999999999</v>
      </c>
      <c r="X435">
        <v>2</v>
      </c>
      <c r="Y435">
        <v>21</v>
      </c>
      <c r="Z435">
        <v>27</v>
      </c>
      <c r="AA435">
        <v>27</v>
      </c>
      <c r="AB435">
        <v>8.859</v>
      </c>
      <c r="AC435">
        <v>71.209999999999994</v>
      </c>
      <c r="AE435">
        <v>14</v>
      </c>
      <c r="AF435" t="s">
        <v>2111</v>
      </c>
      <c r="AG435">
        <v>60</v>
      </c>
      <c r="AH435">
        <v>1</v>
      </c>
      <c r="AI435" t="s">
        <v>2111</v>
      </c>
      <c r="AJ435">
        <v>40</v>
      </c>
      <c r="AK435" t="s">
        <v>102</v>
      </c>
      <c r="AM435" t="s">
        <v>102</v>
      </c>
      <c r="AN435" t="s">
        <v>102</v>
      </c>
      <c r="AO435" t="s">
        <v>102</v>
      </c>
      <c r="AP435" t="s">
        <v>103</v>
      </c>
      <c r="AV435" t="s">
        <v>102</v>
      </c>
      <c r="AX435" t="s">
        <v>268</v>
      </c>
      <c r="AZ435" t="s">
        <v>622</v>
      </c>
      <c r="BC435" t="s">
        <v>275</v>
      </c>
      <c r="BF435" t="s">
        <v>2114</v>
      </c>
      <c r="BG435" t="s">
        <v>102</v>
      </c>
      <c r="BH435" t="s">
        <v>102</v>
      </c>
      <c r="BI435" t="s">
        <v>102</v>
      </c>
      <c r="BR435">
        <v>2.36</v>
      </c>
      <c r="BS435">
        <v>7.28</v>
      </c>
      <c r="BT435">
        <v>7.28</v>
      </c>
      <c r="CB435" t="s">
        <v>268</v>
      </c>
      <c r="CL435" t="s">
        <v>102</v>
      </c>
      <c r="CM435" t="s">
        <v>102</v>
      </c>
      <c r="CO435" s="1">
        <v>42205</v>
      </c>
      <c r="CP435" s="1">
        <v>43634</v>
      </c>
    </row>
    <row r="436" spans="1:94" x14ac:dyDescent="0.25">
      <c r="A436" t="s">
        <v>2115</v>
      </c>
      <c r="B436" t="str">
        <f xml:space="preserve"> "" &amp; 840254045248</f>
        <v>840254045248</v>
      </c>
      <c r="C436" t="s">
        <v>290</v>
      </c>
      <c r="D436" t="s">
        <v>290</v>
      </c>
      <c r="F436" t="s">
        <v>179</v>
      </c>
      <c r="G436">
        <v>1</v>
      </c>
      <c r="H436">
        <v>1</v>
      </c>
      <c r="I436" t="s">
        <v>99</v>
      </c>
      <c r="J436" s="4">
        <v>395</v>
      </c>
      <c r="K436" s="4">
        <v>1185</v>
      </c>
      <c r="O436" t="s">
        <v>100</v>
      </c>
      <c r="P436" s="4">
        <v>829.95</v>
      </c>
      <c r="S436">
        <v>10.25</v>
      </c>
      <c r="T436">
        <v>9.5</v>
      </c>
      <c r="V436">
        <v>5.25</v>
      </c>
      <c r="W436">
        <v>3.42</v>
      </c>
      <c r="X436">
        <v>1</v>
      </c>
      <c r="Y436">
        <v>16.93</v>
      </c>
      <c r="Z436">
        <v>16.54</v>
      </c>
      <c r="AA436">
        <v>20.47</v>
      </c>
      <c r="AB436">
        <v>3.3170000000000002</v>
      </c>
      <c r="AC436">
        <v>11</v>
      </c>
      <c r="AE436">
        <v>1</v>
      </c>
      <c r="AF436" t="s">
        <v>2111</v>
      </c>
      <c r="AG436">
        <v>60</v>
      </c>
      <c r="AK436" t="s">
        <v>102</v>
      </c>
      <c r="AM436" t="s">
        <v>102</v>
      </c>
      <c r="AN436" t="s">
        <v>102</v>
      </c>
      <c r="AO436" t="s">
        <v>102</v>
      </c>
      <c r="AP436" t="s">
        <v>117</v>
      </c>
      <c r="AQ436" t="s">
        <v>104</v>
      </c>
      <c r="AV436" t="s">
        <v>102</v>
      </c>
      <c r="AX436" t="s">
        <v>372</v>
      </c>
      <c r="AZ436" t="s">
        <v>622</v>
      </c>
      <c r="BB436" t="s">
        <v>118</v>
      </c>
      <c r="BC436" t="s">
        <v>443</v>
      </c>
      <c r="BF436" t="s">
        <v>2116</v>
      </c>
      <c r="BG436" t="s">
        <v>102</v>
      </c>
      <c r="BH436" t="s">
        <v>102</v>
      </c>
      <c r="BI436" t="s">
        <v>102</v>
      </c>
      <c r="BR436">
        <v>0.78</v>
      </c>
      <c r="BS436">
        <v>4.13</v>
      </c>
      <c r="BT436">
        <v>3.94</v>
      </c>
      <c r="CB436" t="s">
        <v>372</v>
      </c>
      <c r="CL436" t="s">
        <v>102</v>
      </c>
      <c r="CM436" t="s">
        <v>102</v>
      </c>
      <c r="CO436" s="1">
        <v>42205</v>
      </c>
      <c r="CP436" s="1">
        <v>43634</v>
      </c>
    </row>
    <row r="437" spans="1:94" x14ac:dyDescent="0.25">
      <c r="A437" t="s">
        <v>2117</v>
      </c>
      <c r="B437" t="str">
        <f xml:space="preserve"> "" &amp; 840254045224</f>
        <v>840254045224</v>
      </c>
      <c r="C437" t="s">
        <v>178</v>
      </c>
      <c r="D437" t="s">
        <v>178</v>
      </c>
      <c r="F437" t="s">
        <v>179</v>
      </c>
      <c r="G437">
        <v>1</v>
      </c>
      <c r="H437">
        <v>1</v>
      </c>
      <c r="I437" t="s">
        <v>99</v>
      </c>
      <c r="J437" s="4">
        <v>450</v>
      </c>
      <c r="K437" s="4">
        <v>1350</v>
      </c>
      <c r="O437" t="s">
        <v>100</v>
      </c>
      <c r="P437" s="4">
        <v>949.95</v>
      </c>
      <c r="S437">
        <v>18.5</v>
      </c>
      <c r="T437">
        <v>12.25</v>
      </c>
      <c r="U437">
        <v>12.25</v>
      </c>
      <c r="V437">
        <v>7</v>
      </c>
      <c r="W437">
        <v>4.0599999999999996</v>
      </c>
      <c r="X437">
        <v>1</v>
      </c>
      <c r="Y437">
        <v>9.0549999999999997</v>
      </c>
      <c r="Z437">
        <v>12.598000000000001</v>
      </c>
      <c r="AA437">
        <v>24.408999999999999</v>
      </c>
      <c r="AB437">
        <v>1.611</v>
      </c>
      <c r="AC437">
        <v>5.94</v>
      </c>
      <c r="AE437">
        <v>2</v>
      </c>
      <c r="AF437" t="s">
        <v>2111</v>
      </c>
      <c r="AG437">
        <v>60</v>
      </c>
      <c r="AK437" t="s">
        <v>102</v>
      </c>
      <c r="AM437" t="s">
        <v>102</v>
      </c>
      <c r="AN437" t="s">
        <v>102</v>
      </c>
      <c r="AO437" t="s">
        <v>102</v>
      </c>
      <c r="AP437" t="s">
        <v>117</v>
      </c>
      <c r="AV437" t="s">
        <v>102</v>
      </c>
      <c r="AX437" t="s">
        <v>372</v>
      </c>
      <c r="AZ437" t="s">
        <v>622</v>
      </c>
      <c r="BF437" t="s">
        <v>2118</v>
      </c>
      <c r="BG437" t="s">
        <v>102</v>
      </c>
      <c r="BH437" t="s">
        <v>102</v>
      </c>
      <c r="BI437" t="s">
        <v>102</v>
      </c>
      <c r="BR437">
        <v>1</v>
      </c>
      <c r="BS437">
        <v>4</v>
      </c>
      <c r="BT437">
        <v>3.55</v>
      </c>
      <c r="CB437" t="s">
        <v>372</v>
      </c>
      <c r="CL437" t="s">
        <v>102</v>
      </c>
      <c r="CM437" t="s">
        <v>102</v>
      </c>
      <c r="CO437" s="1">
        <v>42205</v>
      </c>
      <c r="CP437" s="1">
        <v>43634</v>
      </c>
    </row>
    <row r="438" spans="1:94" x14ac:dyDescent="0.25">
      <c r="A438" t="s">
        <v>2119</v>
      </c>
      <c r="B438" t="str">
        <f xml:space="preserve"> "" &amp; 840254045286</f>
        <v>840254045286</v>
      </c>
      <c r="C438" t="s">
        <v>178</v>
      </c>
      <c r="D438" t="s">
        <v>178</v>
      </c>
      <c r="F438" t="s">
        <v>179</v>
      </c>
      <c r="G438">
        <v>1</v>
      </c>
      <c r="H438">
        <v>1</v>
      </c>
      <c r="I438" t="s">
        <v>99</v>
      </c>
      <c r="J438" s="4">
        <v>495</v>
      </c>
      <c r="K438" s="4">
        <v>1485</v>
      </c>
      <c r="O438" t="s">
        <v>100</v>
      </c>
      <c r="P438" s="4">
        <v>1039.95</v>
      </c>
      <c r="S438">
        <v>16.75</v>
      </c>
      <c r="T438">
        <v>15.5</v>
      </c>
      <c r="U438">
        <v>15.5</v>
      </c>
      <c r="V438">
        <v>6</v>
      </c>
      <c r="W438">
        <v>4.08</v>
      </c>
      <c r="X438">
        <v>1</v>
      </c>
      <c r="Y438">
        <v>18.11</v>
      </c>
      <c r="Z438">
        <v>21.26</v>
      </c>
      <c r="AA438">
        <v>17.32</v>
      </c>
      <c r="AB438">
        <v>3.859</v>
      </c>
      <c r="AC438">
        <v>11.55</v>
      </c>
      <c r="AE438">
        <v>2</v>
      </c>
      <c r="AF438" t="s">
        <v>2111</v>
      </c>
      <c r="AG438">
        <v>60</v>
      </c>
      <c r="AK438" t="s">
        <v>102</v>
      </c>
      <c r="AM438" t="s">
        <v>102</v>
      </c>
      <c r="AN438" t="s">
        <v>102</v>
      </c>
      <c r="AO438" t="s">
        <v>102</v>
      </c>
      <c r="AP438" t="s">
        <v>117</v>
      </c>
      <c r="AQ438" t="s">
        <v>104</v>
      </c>
      <c r="AV438" t="s">
        <v>102</v>
      </c>
      <c r="AX438" t="s">
        <v>372</v>
      </c>
      <c r="AZ438" t="s">
        <v>622</v>
      </c>
      <c r="BF438" t="s">
        <v>2120</v>
      </c>
      <c r="BG438" t="s">
        <v>102</v>
      </c>
      <c r="BH438" t="s">
        <v>102</v>
      </c>
      <c r="BI438" t="s">
        <v>102</v>
      </c>
      <c r="BR438">
        <v>1</v>
      </c>
      <c r="BS438">
        <v>7.49</v>
      </c>
      <c r="BT438">
        <v>15.2</v>
      </c>
      <c r="CB438" t="s">
        <v>372</v>
      </c>
      <c r="CL438" t="s">
        <v>102</v>
      </c>
      <c r="CM438" t="s">
        <v>102</v>
      </c>
      <c r="CO438" s="1">
        <v>42205</v>
      </c>
      <c r="CP438" s="1">
        <v>43634</v>
      </c>
    </row>
    <row r="439" spans="1:94" x14ac:dyDescent="0.25">
      <c r="A439" t="s">
        <v>2121</v>
      </c>
      <c r="B439" t="str">
        <f xml:space="preserve"> "" &amp; 840254027039</f>
        <v>840254027039</v>
      </c>
      <c r="C439" t="s">
        <v>95</v>
      </c>
      <c r="D439" t="s">
        <v>2011</v>
      </c>
      <c r="F439" t="s">
        <v>98</v>
      </c>
      <c r="G439">
        <v>1</v>
      </c>
      <c r="H439">
        <v>1</v>
      </c>
      <c r="I439" t="s">
        <v>99</v>
      </c>
      <c r="J439" s="4">
        <v>6495</v>
      </c>
      <c r="K439" s="4">
        <v>19485</v>
      </c>
      <c r="O439" t="s">
        <v>100</v>
      </c>
      <c r="P439" s="4">
        <v>13639.95</v>
      </c>
      <c r="S439">
        <v>62</v>
      </c>
      <c r="U439">
        <v>38.25</v>
      </c>
      <c r="W439">
        <v>154</v>
      </c>
      <c r="X439">
        <v>1</v>
      </c>
      <c r="Y439">
        <v>57</v>
      </c>
      <c r="Z439">
        <v>45</v>
      </c>
      <c r="AA439">
        <v>45</v>
      </c>
      <c r="AB439">
        <v>66.796999999999997</v>
      </c>
      <c r="AC439">
        <v>216.05</v>
      </c>
      <c r="AE439">
        <v>12</v>
      </c>
      <c r="AF439" t="s">
        <v>383</v>
      </c>
      <c r="AG439">
        <v>60</v>
      </c>
      <c r="AK439" t="s">
        <v>102</v>
      </c>
      <c r="AL439">
        <v>12</v>
      </c>
      <c r="AM439" t="s">
        <v>102</v>
      </c>
      <c r="AN439" t="s">
        <v>102</v>
      </c>
      <c r="AO439" t="s">
        <v>102</v>
      </c>
      <c r="AP439" t="s">
        <v>103</v>
      </c>
      <c r="AQ439" t="s">
        <v>104</v>
      </c>
      <c r="AV439" t="s">
        <v>102</v>
      </c>
      <c r="AZ439" t="s">
        <v>163</v>
      </c>
      <c r="BD439" t="s">
        <v>2052</v>
      </c>
      <c r="BF439" t="s">
        <v>2122</v>
      </c>
      <c r="BG439" t="s">
        <v>102</v>
      </c>
      <c r="BH439" t="s">
        <v>102</v>
      </c>
      <c r="BI439" t="s">
        <v>102</v>
      </c>
      <c r="BK439" t="s">
        <v>107</v>
      </c>
      <c r="CA439" t="s">
        <v>2121</v>
      </c>
      <c r="CL439" t="s">
        <v>102</v>
      </c>
      <c r="CM439" t="s">
        <v>102</v>
      </c>
      <c r="CO439" s="1">
        <v>38623</v>
      </c>
      <c r="CP439" s="1">
        <v>43634</v>
      </c>
    </row>
    <row r="440" spans="1:94" x14ac:dyDescent="0.25">
      <c r="A440" t="s">
        <v>2123</v>
      </c>
      <c r="B440" t="str">
        <f xml:space="preserve"> "" &amp; 840254045194</f>
        <v>840254045194</v>
      </c>
      <c r="C440" t="s">
        <v>290</v>
      </c>
      <c r="D440" t="s">
        <v>290</v>
      </c>
      <c r="F440" t="s">
        <v>179</v>
      </c>
      <c r="G440">
        <v>1</v>
      </c>
      <c r="H440">
        <v>1</v>
      </c>
      <c r="I440" t="s">
        <v>99</v>
      </c>
      <c r="J440" s="4">
        <v>350</v>
      </c>
      <c r="K440" s="4">
        <v>1050</v>
      </c>
      <c r="O440" t="s">
        <v>100</v>
      </c>
      <c r="P440" s="4">
        <v>734.95</v>
      </c>
      <c r="S440">
        <v>17.5</v>
      </c>
      <c r="T440">
        <v>8.5</v>
      </c>
      <c r="U440">
        <v>8.5</v>
      </c>
      <c r="V440">
        <v>6</v>
      </c>
      <c r="W440">
        <v>10.119999999999999</v>
      </c>
      <c r="X440">
        <v>1</v>
      </c>
      <c r="Y440">
        <v>16.149999999999999</v>
      </c>
      <c r="Z440">
        <v>17.350000000000001</v>
      </c>
      <c r="AA440">
        <v>17.350000000000001</v>
      </c>
      <c r="AB440">
        <v>2.8130000000000002</v>
      </c>
      <c r="AC440">
        <v>17.27</v>
      </c>
      <c r="AE440">
        <v>1</v>
      </c>
      <c r="AF440" t="s">
        <v>2111</v>
      </c>
      <c r="AG440">
        <v>40</v>
      </c>
      <c r="AK440" t="s">
        <v>102</v>
      </c>
      <c r="AM440" t="s">
        <v>102</v>
      </c>
      <c r="AN440" t="s">
        <v>102</v>
      </c>
      <c r="AO440" t="s">
        <v>102</v>
      </c>
      <c r="AP440" t="s">
        <v>117</v>
      </c>
      <c r="AV440" t="s">
        <v>102</v>
      </c>
      <c r="AX440" t="s">
        <v>372</v>
      </c>
      <c r="AZ440" t="s">
        <v>622</v>
      </c>
      <c r="BC440" t="s">
        <v>443</v>
      </c>
      <c r="BF440" t="s">
        <v>2124</v>
      </c>
      <c r="BG440" t="s">
        <v>102</v>
      </c>
      <c r="BH440" t="s">
        <v>102</v>
      </c>
      <c r="BI440" t="s">
        <v>102</v>
      </c>
      <c r="BR440">
        <v>2.63</v>
      </c>
      <c r="BS440">
        <v>5.1100000000000003</v>
      </c>
      <c r="BT440">
        <v>5.1100000000000003</v>
      </c>
      <c r="CB440" t="s">
        <v>372</v>
      </c>
      <c r="CL440" t="s">
        <v>102</v>
      </c>
      <c r="CM440" t="s">
        <v>102</v>
      </c>
      <c r="CO440" s="1">
        <v>42205</v>
      </c>
      <c r="CP440" s="1">
        <v>43634</v>
      </c>
    </row>
    <row r="441" spans="1:94" x14ac:dyDescent="0.25">
      <c r="A441" t="s">
        <v>2125</v>
      </c>
      <c r="B441" t="str">
        <f xml:space="preserve"> "" &amp; 840254028883</f>
        <v>840254028883</v>
      </c>
      <c r="C441" t="s">
        <v>290</v>
      </c>
      <c r="D441" t="s">
        <v>290</v>
      </c>
      <c r="F441" t="s">
        <v>179</v>
      </c>
      <c r="G441">
        <v>1</v>
      </c>
      <c r="H441">
        <v>1</v>
      </c>
      <c r="I441" t="s">
        <v>99</v>
      </c>
      <c r="J441" s="4">
        <v>395</v>
      </c>
      <c r="K441" s="4">
        <v>1185</v>
      </c>
      <c r="O441" t="s">
        <v>100</v>
      </c>
      <c r="P441" s="4">
        <v>829.95</v>
      </c>
      <c r="S441">
        <v>12.5</v>
      </c>
      <c r="U441">
        <v>8.25</v>
      </c>
      <c r="V441">
        <v>5.5</v>
      </c>
      <c r="W441">
        <v>6</v>
      </c>
      <c r="X441">
        <v>1</v>
      </c>
      <c r="Y441">
        <v>12.99</v>
      </c>
      <c r="Z441">
        <v>12.598000000000001</v>
      </c>
      <c r="AA441">
        <v>20.47</v>
      </c>
      <c r="AB441">
        <v>1.9390000000000001</v>
      </c>
      <c r="AC441">
        <v>7.92</v>
      </c>
      <c r="AE441">
        <v>1</v>
      </c>
      <c r="AF441" t="s">
        <v>383</v>
      </c>
      <c r="AG441">
        <v>60</v>
      </c>
      <c r="AK441" t="s">
        <v>102</v>
      </c>
      <c r="AM441" t="s">
        <v>102</v>
      </c>
      <c r="AN441" t="s">
        <v>102</v>
      </c>
      <c r="AO441" t="s">
        <v>102</v>
      </c>
      <c r="AP441" t="s">
        <v>103</v>
      </c>
      <c r="AQ441" t="s">
        <v>104</v>
      </c>
      <c r="AV441" t="s">
        <v>102</v>
      </c>
      <c r="AZ441" t="s">
        <v>163</v>
      </c>
      <c r="BC441" t="s">
        <v>701</v>
      </c>
      <c r="BF441" t="s">
        <v>2126</v>
      </c>
      <c r="BG441" t="s">
        <v>102</v>
      </c>
      <c r="BH441" t="s">
        <v>102</v>
      </c>
      <c r="BI441" t="s">
        <v>102</v>
      </c>
      <c r="BK441" t="s">
        <v>107</v>
      </c>
      <c r="BL441" t="s">
        <v>180</v>
      </c>
      <c r="BM441">
        <v>4.5</v>
      </c>
      <c r="BN441">
        <v>5.25</v>
      </c>
      <c r="CA441" t="s">
        <v>2125</v>
      </c>
      <c r="CL441" t="s">
        <v>100</v>
      </c>
      <c r="CM441" t="s">
        <v>102</v>
      </c>
      <c r="CN441" t="s">
        <v>2127</v>
      </c>
      <c r="CO441" s="1">
        <v>41760</v>
      </c>
      <c r="CP441" s="1">
        <v>43634</v>
      </c>
    </row>
    <row r="442" spans="1:94" x14ac:dyDescent="0.25">
      <c r="A442" t="s">
        <v>2128</v>
      </c>
      <c r="B442" t="str">
        <f xml:space="preserve"> "" &amp; 840254026513</f>
        <v>840254026513</v>
      </c>
      <c r="C442" t="s">
        <v>930</v>
      </c>
      <c r="D442" t="s">
        <v>930</v>
      </c>
      <c r="F442" t="s">
        <v>179</v>
      </c>
      <c r="G442">
        <v>1</v>
      </c>
      <c r="H442">
        <v>1</v>
      </c>
      <c r="I442" t="s">
        <v>99</v>
      </c>
      <c r="J442" s="4">
        <v>1095</v>
      </c>
      <c r="K442" s="4">
        <v>3285</v>
      </c>
      <c r="O442" t="s">
        <v>100</v>
      </c>
      <c r="P442" s="4">
        <v>2299.9499999999998</v>
      </c>
      <c r="S442">
        <v>24</v>
      </c>
      <c r="U442">
        <v>13.25</v>
      </c>
      <c r="V442">
        <v>7</v>
      </c>
      <c r="W442">
        <v>14</v>
      </c>
      <c r="X442">
        <v>1</v>
      </c>
      <c r="Y442">
        <v>10.199999999999999</v>
      </c>
      <c r="Z442">
        <v>23.6</v>
      </c>
      <c r="AA442">
        <v>13.8</v>
      </c>
      <c r="AB442">
        <v>1.9219999999999999</v>
      </c>
      <c r="AC442">
        <v>15.4</v>
      </c>
      <c r="AE442">
        <v>4</v>
      </c>
      <c r="AF442" t="s">
        <v>383</v>
      </c>
      <c r="AG442">
        <v>60</v>
      </c>
      <c r="AK442" t="s">
        <v>102</v>
      </c>
      <c r="AL442">
        <v>4</v>
      </c>
      <c r="AM442" t="s">
        <v>102</v>
      </c>
      <c r="AN442" t="s">
        <v>102</v>
      </c>
      <c r="AO442" t="s">
        <v>102</v>
      </c>
      <c r="AP442" t="s">
        <v>117</v>
      </c>
      <c r="AQ442" t="s">
        <v>104</v>
      </c>
      <c r="AV442" t="s">
        <v>102</v>
      </c>
      <c r="AZ442" t="s">
        <v>163</v>
      </c>
      <c r="BD442" t="s">
        <v>2052</v>
      </c>
      <c r="BF442" t="s">
        <v>2129</v>
      </c>
      <c r="BG442" t="s">
        <v>102</v>
      </c>
      <c r="BH442" t="s">
        <v>102</v>
      </c>
      <c r="BI442" t="s">
        <v>102</v>
      </c>
      <c r="BL442" t="s">
        <v>180</v>
      </c>
      <c r="BT442">
        <v>4.75</v>
      </c>
      <c r="CA442" t="s">
        <v>2128</v>
      </c>
      <c r="CL442" t="s">
        <v>102</v>
      </c>
      <c r="CM442" t="s">
        <v>102</v>
      </c>
      <c r="CO442" s="1">
        <v>39706</v>
      </c>
      <c r="CP442" s="1">
        <v>43634</v>
      </c>
    </row>
    <row r="443" spans="1:94" x14ac:dyDescent="0.25">
      <c r="A443" t="s">
        <v>2130</v>
      </c>
      <c r="B443" t="str">
        <f xml:space="preserve"> "" &amp; 840254026520</f>
        <v>840254026520</v>
      </c>
      <c r="C443" t="s">
        <v>95</v>
      </c>
      <c r="D443" t="s">
        <v>95</v>
      </c>
      <c r="F443" t="s">
        <v>98</v>
      </c>
      <c r="G443">
        <v>1</v>
      </c>
      <c r="H443">
        <v>1</v>
      </c>
      <c r="I443" t="s">
        <v>99</v>
      </c>
      <c r="J443" s="4">
        <v>2895</v>
      </c>
      <c r="K443" s="4">
        <v>8685</v>
      </c>
      <c r="O443" t="s">
        <v>100</v>
      </c>
      <c r="P443" s="4">
        <v>6079.95</v>
      </c>
      <c r="S443">
        <v>39.5</v>
      </c>
      <c r="U443">
        <v>33</v>
      </c>
      <c r="W443">
        <v>63</v>
      </c>
      <c r="X443">
        <v>1</v>
      </c>
      <c r="Y443">
        <v>48</v>
      </c>
      <c r="Z443">
        <v>40.200000000000003</v>
      </c>
      <c r="AA443">
        <v>40.200000000000003</v>
      </c>
      <c r="AB443">
        <v>44.89</v>
      </c>
      <c r="AC443">
        <v>88</v>
      </c>
      <c r="AE443">
        <v>12</v>
      </c>
      <c r="AF443" t="s">
        <v>383</v>
      </c>
      <c r="AG443">
        <v>60</v>
      </c>
      <c r="AK443" t="s">
        <v>102</v>
      </c>
      <c r="AL443">
        <v>12</v>
      </c>
      <c r="AM443" t="s">
        <v>102</v>
      </c>
      <c r="AN443" t="s">
        <v>102</v>
      </c>
      <c r="AO443" t="s">
        <v>102</v>
      </c>
      <c r="AP443" t="s">
        <v>103</v>
      </c>
      <c r="AQ443" t="s">
        <v>104</v>
      </c>
      <c r="AV443" t="s">
        <v>102</v>
      </c>
      <c r="AZ443" t="s">
        <v>163</v>
      </c>
      <c r="BD443" t="s">
        <v>2052</v>
      </c>
      <c r="BF443" t="s">
        <v>2131</v>
      </c>
      <c r="BG443" t="s">
        <v>102</v>
      </c>
      <c r="BH443" t="s">
        <v>102</v>
      </c>
      <c r="BI443" t="s">
        <v>102</v>
      </c>
      <c r="BK443" t="s">
        <v>107</v>
      </c>
      <c r="CA443" t="s">
        <v>2130</v>
      </c>
      <c r="CL443" t="s">
        <v>102</v>
      </c>
      <c r="CM443" t="s">
        <v>102</v>
      </c>
      <c r="CO443" s="1">
        <v>38509</v>
      </c>
      <c r="CP443" s="1">
        <v>43634</v>
      </c>
    </row>
    <row r="444" spans="1:94" x14ac:dyDescent="0.25">
      <c r="A444" t="s">
        <v>2132</v>
      </c>
      <c r="B444" t="str">
        <f xml:space="preserve"> "" &amp; 840254036680</f>
        <v>840254036680</v>
      </c>
      <c r="C444" t="s">
        <v>178</v>
      </c>
      <c r="D444" t="s">
        <v>178</v>
      </c>
      <c r="F444" t="s">
        <v>179</v>
      </c>
      <c r="G444">
        <v>1</v>
      </c>
      <c r="H444">
        <v>1</v>
      </c>
      <c r="I444" t="s">
        <v>99</v>
      </c>
      <c r="J444" s="4">
        <v>950</v>
      </c>
      <c r="K444" s="4">
        <v>2850</v>
      </c>
      <c r="O444" t="s">
        <v>100</v>
      </c>
      <c r="P444" s="4">
        <v>1994.95</v>
      </c>
      <c r="S444">
        <v>17</v>
      </c>
      <c r="U444">
        <v>12.5</v>
      </c>
      <c r="W444">
        <v>12.17</v>
      </c>
      <c r="X444">
        <v>1</v>
      </c>
      <c r="Y444">
        <v>16.5</v>
      </c>
      <c r="Z444">
        <v>20.5</v>
      </c>
      <c r="AA444">
        <v>16.5</v>
      </c>
      <c r="AB444">
        <v>3.23</v>
      </c>
      <c r="AC444">
        <v>16.71</v>
      </c>
      <c r="AE444">
        <v>2</v>
      </c>
      <c r="AF444" t="s">
        <v>176</v>
      </c>
      <c r="AG444">
        <v>60</v>
      </c>
      <c r="AK444" t="s">
        <v>102</v>
      </c>
      <c r="AM444" t="s">
        <v>102</v>
      </c>
      <c r="AN444" t="s">
        <v>102</v>
      </c>
      <c r="AO444" t="s">
        <v>102</v>
      </c>
      <c r="AP444" t="s">
        <v>117</v>
      </c>
      <c r="AQ444" t="s">
        <v>104</v>
      </c>
      <c r="AV444" t="s">
        <v>102</v>
      </c>
      <c r="AX444" t="s">
        <v>2133</v>
      </c>
      <c r="AZ444" t="s">
        <v>163</v>
      </c>
      <c r="BF444" t="s">
        <v>2134</v>
      </c>
      <c r="BG444" t="s">
        <v>102</v>
      </c>
      <c r="BH444" t="s">
        <v>102</v>
      </c>
      <c r="BI444" t="s">
        <v>102</v>
      </c>
      <c r="BK444" t="s">
        <v>107</v>
      </c>
      <c r="BL444" t="s">
        <v>180</v>
      </c>
      <c r="CA444" t="s">
        <v>2135</v>
      </c>
      <c r="CB444" t="s">
        <v>2133</v>
      </c>
      <c r="CL444" t="s">
        <v>102</v>
      </c>
      <c r="CM444" t="s">
        <v>102</v>
      </c>
      <c r="CO444" s="1">
        <v>40289</v>
      </c>
      <c r="CP444" s="1">
        <v>43634</v>
      </c>
    </row>
    <row r="445" spans="1:94" x14ac:dyDescent="0.25">
      <c r="A445" t="s">
        <v>2136</v>
      </c>
      <c r="B445" t="str">
        <f xml:space="preserve"> "" &amp; 840254026575</f>
        <v>840254026575</v>
      </c>
      <c r="C445" t="s">
        <v>178</v>
      </c>
      <c r="D445" t="s">
        <v>178</v>
      </c>
      <c r="F445" t="s">
        <v>179</v>
      </c>
      <c r="G445">
        <v>1</v>
      </c>
      <c r="H445">
        <v>1</v>
      </c>
      <c r="I445" t="s">
        <v>99</v>
      </c>
      <c r="J445" s="4">
        <v>795</v>
      </c>
      <c r="K445" s="4">
        <v>2385</v>
      </c>
      <c r="O445" t="s">
        <v>100</v>
      </c>
      <c r="P445" s="4">
        <v>1669.95</v>
      </c>
      <c r="S445">
        <v>20.25</v>
      </c>
      <c r="U445">
        <v>16.5</v>
      </c>
      <c r="V445">
        <v>7</v>
      </c>
      <c r="W445">
        <v>13.2</v>
      </c>
      <c r="X445">
        <v>1</v>
      </c>
      <c r="Y445">
        <v>18</v>
      </c>
      <c r="Z445">
        <v>33</v>
      </c>
      <c r="AA445">
        <v>18</v>
      </c>
      <c r="AB445">
        <v>6.1879999999999997</v>
      </c>
      <c r="AC445">
        <v>19.8</v>
      </c>
      <c r="AE445">
        <v>2</v>
      </c>
      <c r="AF445" t="s">
        <v>167</v>
      </c>
      <c r="AG445">
        <v>60</v>
      </c>
      <c r="AK445" t="s">
        <v>102</v>
      </c>
      <c r="AM445" t="s">
        <v>102</v>
      </c>
      <c r="AN445" t="s">
        <v>102</v>
      </c>
      <c r="AO445" t="s">
        <v>102</v>
      </c>
      <c r="AP445" t="s">
        <v>117</v>
      </c>
      <c r="AQ445" t="s">
        <v>104</v>
      </c>
      <c r="AV445" t="s">
        <v>102</v>
      </c>
      <c r="AX445" t="s">
        <v>372</v>
      </c>
      <c r="AZ445" t="s">
        <v>163</v>
      </c>
      <c r="BF445" t="s">
        <v>2137</v>
      </c>
      <c r="BG445" t="s">
        <v>102</v>
      </c>
      <c r="BH445" t="s">
        <v>102</v>
      </c>
      <c r="BI445" t="s">
        <v>102</v>
      </c>
      <c r="BL445" t="s">
        <v>180</v>
      </c>
      <c r="CA445" t="s">
        <v>2136</v>
      </c>
      <c r="CB445" t="s">
        <v>372</v>
      </c>
      <c r="CL445" t="s">
        <v>102</v>
      </c>
      <c r="CM445" t="s">
        <v>102</v>
      </c>
      <c r="CO445" s="1">
        <v>38492</v>
      </c>
      <c r="CP445" s="1">
        <v>43634</v>
      </c>
    </row>
    <row r="446" spans="1:94" x14ac:dyDescent="0.25">
      <c r="A446" t="s">
        <v>2138</v>
      </c>
      <c r="B446" t="str">
        <f xml:space="preserve"> "" &amp; 840254036697</f>
        <v>840254036697</v>
      </c>
      <c r="C446" t="s">
        <v>178</v>
      </c>
      <c r="D446" t="s">
        <v>178</v>
      </c>
      <c r="F446" t="s">
        <v>179</v>
      </c>
      <c r="G446">
        <v>1</v>
      </c>
      <c r="H446">
        <v>1</v>
      </c>
      <c r="I446" t="s">
        <v>99</v>
      </c>
      <c r="J446" s="4">
        <v>795</v>
      </c>
      <c r="K446" s="4">
        <v>2385</v>
      </c>
      <c r="O446" t="s">
        <v>100</v>
      </c>
      <c r="P446" s="4">
        <v>1669.95</v>
      </c>
      <c r="S446">
        <v>20.25</v>
      </c>
      <c r="U446">
        <v>16.5</v>
      </c>
      <c r="V446">
        <v>7</v>
      </c>
      <c r="W446">
        <v>14</v>
      </c>
      <c r="X446">
        <v>1</v>
      </c>
      <c r="Y446">
        <v>19.690000000000001</v>
      </c>
      <c r="Z446">
        <v>21.65</v>
      </c>
      <c r="AA446">
        <v>21.65</v>
      </c>
      <c r="AB446">
        <v>5.3410000000000002</v>
      </c>
      <c r="AC446">
        <v>21.61</v>
      </c>
      <c r="AE446">
        <v>2</v>
      </c>
      <c r="AF446" t="s">
        <v>176</v>
      </c>
      <c r="AG446">
        <v>60</v>
      </c>
      <c r="AK446" t="s">
        <v>102</v>
      </c>
      <c r="AM446" t="s">
        <v>102</v>
      </c>
      <c r="AN446" t="s">
        <v>102</v>
      </c>
      <c r="AO446" t="s">
        <v>102</v>
      </c>
      <c r="AP446" t="s">
        <v>117</v>
      </c>
      <c r="AQ446" t="s">
        <v>104</v>
      </c>
      <c r="AV446" t="s">
        <v>102</v>
      </c>
      <c r="AX446" t="s">
        <v>2133</v>
      </c>
      <c r="AZ446" t="s">
        <v>163</v>
      </c>
      <c r="BF446" t="s">
        <v>2139</v>
      </c>
      <c r="BG446" t="s">
        <v>102</v>
      </c>
      <c r="BH446" t="s">
        <v>102</v>
      </c>
      <c r="BI446" t="s">
        <v>102</v>
      </c>
      <c r="BK446" t="s">
        <v>107</v>
      </c>
      <c r="BL446" t="s">
        <v>180</v>
      </c>
      <c r="CA446" t="s">
        <v>2136</v>
      </c>
      <c r="CB446" t="s">
        <v>2133</v>
      </c>
      <c r="CL446" t="s">
        <v>102</v>
      </c>
      <c r="CM446" t="s">
        <v>102</v>
      </c>
      <c r="CO446" s="1">
        <v>40289</v>
      </c>
      <c r="CP446" s="1">
        <v>43634</v>
      </c>
    </row>
    <row r="447" spans="1:94" x14ac:dyDescent="0.25">
      <c r="A447" t="s">
        <v>2140</v>
      </c>
      <c r="B447" t="str">
        <f xml:space="preserve"> "" &amp; 840254027121</f>
        <v>840254027121</v>
      </c>
      <c r="C447" t="s">
        <v>178</v>
      </c>
      <c r="D447" t="s">
        <v>178</v>
      </c>
      <c r="F447" t="s">
        <v>179</v>
      </c>
      <c r="G447">
        <v>1</v>
      </c>
      <c r="H447">
        <v>1</v>
      </c>
      <c r="I447" t="s">
        <v>99</v>
      </c>
      <c r="J447" s="4">
        <v>395</v>
      </c>
      <c r="K447" s="4">
        <v>1185</v>
      </c>
      <c r="O447" t="s">
        <v>100</v>
      </c>
      <c r="P447" s="4">
        <v>829.95</v>
      </c>
      <c r="S447">
        <v>16</v>
      </c>
      <c r="U447">
        <v>10.5</v>
      </c>
      <c r="V447">
        <v>5</v>
      </c>
      <c r="W447">
        <v>5</v>
      </c>
      <c r="X447">
        <v>1</v>
      </c>
      <c r="Y447">
        <v>9.0549999999999997</v>
      </c>
      <c r="Z447">
        <v>12.598000000000001</v>
      </c>
      <c r="AA447">
        <v>20.472000000000001</v>
      </c>
      <c r="AB447">
        <v>1.351</v>
      </c>
      <c r="AC447">
        <v>7.17</v>
      </c>
      <c r="AE447">
        <v>2</v>
      </c>
      <c r="AF447" t="s">
        <v>383</v>
      </c>
      <c r="AG447">
        <v>60</v>
      </c>
      <c r="AK447" t="s">
        <v>102</v>
      </c>
      <c r="AL447">
        <v>2</v>
      </c>
      <c r="AM447" t="s">
        <v>102</v>
      </c>
      <c r="AN447" t="s">
        <v>102</v>
      </c>
      <c r="AO447" t="s">
        <v>102</v>
      </c>
      <c r="AP447" t="s">
        <v>117</v>
      </c>
      <c r="AQ447" t="s">
        <v>104</v>
      </c>
      <c r="AV447" t="s">
        <v>102</v>
      </c>
      <c r="AX447" t="s">
        <v>2141</v>
      </c>
      <c r="AZ447" t="s">
        <v>163</v>
      </c>
      <c r="BF447" t="s">
        <v>2142</v>
      </c>
      <c r="BG447" t="s">
        <v>102</v>
      </c>
      <c r="BH447" t="s">
        <v>102</v>
      </c>
      <c r="BI447" t="s">
        <v>102</v>
      </c>
      <c r="BL447" t="s">
        <v>180</v>
      </c>
      <c r="CA447" t="s">
        <v>2140</v>
      </c>
      <c r="CB447" t="s">
        <v>2141</v>
      </c>
      <c r="CL447" t="s">
        <v>102</v>
      </c>
      <c r="CM447" t="s">
        <v>102</v>
      </c>
      <c r="CO447" s="1">
        <v>38604</v>
      </c>
      <c r="CP447" s="1">
        <v>43634</v>
      </c>
    </row>
    <row r="448" spans="1:94" x14ac:dyDescent="0.25">
      <c r="A448" t="s">
        <v>2143</v>
      </c>
      <c r="B448" t="str">
        <f xml:space="preserve"> "" &amp; 840254027138</f>
        <v>840254027138</v>
      </c>
      <c r="C448" t="s">
        <v>178</v>
      </c>
      <c r="D448" t="s">
        <v>178</v>
      </c>
      <c r="F448" t="s">
        <v>179</v>
      </c>
      <c r="G448">
        <v>1</v>
      </c>
      <c r="H448">
        <v>1</v>
      </c>
      <c r="I448" t="s">
        <v>99</v>
      </c>
      <c r="J448" s="4">
        <v>395</v>
      </c>
      <c r="K448" s="4">
        <v>1185</v>
      </c>
      <c r="O448" t="s">
        <v>100</v>
      </c>
      <c r="P448" s="4">
        <v>829.95</v>
      </c>
      <c r="S448">
        <v>16</v>
      </c>
      <c r="U448">
        <v>10.5</v>
      </c>
      <c r="V448">
        <v>5</v>
      </c>
      <c r="W448">
        <v>5</v>
      </c>
      <c r="X448">
        <v>1</v>
      </c>
      <c r="Y448">
        <v>9.0549999999999997</v>
      </c>
      <c r="Z448">
        <v>12.598000000000001</v>
      </c>
      <c r="AA448">
        <v>20.47</v>
      </c>
      <c r="AB448">
        <v>1.351</v>
      </c>
      <c r="AC448">
        <v>7.26</v>
      </c>
      <c r="AE448">
        <v>2</v>
      </c>
      <c r="AF448" t="s">
        <v>383</v>
      </c>
      <c r="AG448">
        <v>60</v>
      </c>
      <c r="AK448" t="s">
        <v>102</v>
      </c>
      <c r="AL448">
        <v>2</v>
      </c>
      <c r="AM448" t="s">
        <v>102</v>
      </c>
      <c r="AN448" t="s">
        <v>102</v>
      </c>
      <c r="AO448" t="s">
        <v>102</v>
      </c>
      <c r="AP448" t="s">
        <v>117</v>
      </c>
      <c r="AQ448" t="s">
        <v>104</v>
      </c>
      <c r="AV448" t="s">
        <v>102</v>
      </c>
      <c r="AX448" t="s">
        <v>2141</v>
      </c>
      <c r="AZ448" t="s">
        <v>163</v>
      </c>
      <c r="BF448" t="s">
        <v>2144</v>
      </c>
      <c r="BG448" t="s">
        <v>102</v>
      </c>
      <c r="BH448" t="s">
        <v>102</v>
      </c>
      <c r="BI448" t="s">
        <v>102</v>
      </c>
      <c r="BL448" t="s">
        <v>180</v>
      </c>
      <c r="CA448" t="s">
        <v>2143</v>
      </c>
      <c r="CB448" t="s">
        <v>2141</v>
      </c>
      <c r="CL448" t="s">
        <v>102</v>
      </c>
      <c r="CM448" t="s">
        <v>102</v>
      </c>
      <c r="CO448" s="1">
        <v>38604</v>
      </c>
      <c r="CP448" s="1">
        <v>43634</v>
      </c>
    </row>
    <row r="449" spans="1:94" x14ac:dyDescent="0.25">
      <c r="A449" t="s">
        <v>2145</v>
      </c>
      <c r="B449" t="str">
        <f xml:space="preserve"> "" &amp; 840254027145</f>
        <v>840254027145</v>
      </c>
      <c r="C449" t="s">
        <v>290</v>
      </c>
      <c r="D449" t="s">
        <v>290</v>
      </c>
      <c r="F449" t="s">
        <v>179</v>
      </c>
      <c r="G449">
        <v>1</v>
      </c>
      <c r="H449">
        <v>1</v>
      </c>
      <c r="I449" t="s">
        <v>99</v>
      </c>
      <c r="J449" s="4">
        <v>350</v>
      </c>
      <c r="K449" s="4">
        <v>1050</v>
      </c>
      <c r="O449" t="s">
        <v>100</v>
      </c>
      <c r="P449" s="4">
        <v>734.95</v>
      </c>
      <c r="S449">
        <v>14.5</v>
      </c>
      <c r="U449">
        <v>8.5</v>
      </c>
      <c r="V449">
        <v>4</v>
      </c>
      <c r="W449">
        <v>6.5</v>
      </c>
      <c r="X449">
        <v>1</v>
      </c>
      <c r="Y449">
        <v>14.17</v>
      </c>
      <c r="Z449">
        <v>21.26</v>
      </c>
      <c r="AA449">
        <v>13.39</v>
      </c>
      <c r="AB449">
        <v>2.3340000000000001</v>
      </c>
      <c r="AC449">
        <v>7.92</v>
      </c>
      <c r="AE449">
        <v>1</v>
      </c>
      <c r="AF449" t="s">
        <v>383</v>
      </c>
      <c r="AG449">
        <v>60</v>
      </c>
      <c r="AK449" t="s">
        <v>102</v>
      </c>
      <c r="AM449" t="s">
        <v>102</v>
      </c>
      <c r="AN449" t="s">
        <v>102</v>
      </c>
      <c r="AO449" t="s">
        <v>102</v>
      </c>
      <c r="AP449" t="s">
        <v>117</v>
      </c>
      <c r="AQ449" t="s">
        <v>104</v>
      </c>
      <c r="AV449" t="s">
        <v>102</v>
      </c>
      <c r="AX449" t="s">
        <v>372</v>
      </c>
      <c r="AZ449" t="s">
        <v>163</v>
      </c>
      <c r="BF449" t="s">
        <v>2146</v>
      </c>
      <c r="BG449" t="s">
        <v>102</v>
      </c>
      <c r="BH449" t="s">
        <v>102</v>
      </c>
      <c r="BI449" t="s">
        <v>102</v>
      </c>
      <c r="BL449" t="s">
        <v>180</v>
      </c>
      <c r="CA449" t="s">
        <v>2145</v>
      </c>
      <c r="CB449" t="s">
        <v>372</v>
      </c>
      <c r="CL449" t="s">
        <v>102</v>
      </c>
      <c r="CM449" t="s">
        <v>102</v>
      </c>
      <c r="CO449" s="1">
        <v>38608</v>
      </c>
      <c r="CP449" s="1">
        <v>43634</v>
      </c>
    </row>
    <row r="450" spans="1:94" x14ac:dyDescent="0.25">
      <c r="A450" t="s">
        <v>2147</v>
      </c>
      <c r="B450" t="str">
        <f xml:space="preserve"> "" &amp; 840254027190</f>
        <v>840254027190</v>
      </c>
      <c r="C450" t="s">
        <v>178</v>
      </c>
      <c r="D450" t="s">
        <v>178</v>
      </c>
      <c r="F450" t="s">
        <v>179</v>
      </c>
      <c r="G450">
        <v>1</v>
      </c>
      <c r="H450">
        <v>1</v>
      </c>
      <c r="I450" t="s">
        <v>99</v>
      </c>
      <c r="J450" s="4">
        <v>800</v>
      </c>
      <c r="K450" s="4">
        <v>2400</v>
      </c>
      <c r="O450" t="s">
        <v>100</v>
      </c>
      <c r="P450" s="4">
        <v>1679.95</v>
      </c>
      <c r="S450">
        <v>26.75</v>
      </c>
      <c r="U450">
        <v>13.5</v>
      </c>
      <c r="V450">
        <v>8</v>
      </c>
      <c r="W450">
        <v>11</v>
      </c>
      <c r="X450">
        <v>1</v>
      </c>
      <c r="Y450">
        <v>21</v>
      </c>
      <c r="Z450">
        <v>22.45</v>
      </c>
      <c r="AA450">
        <v>22.45</v>
      </c>
      <c r="AB450">
        <v>6.125</v>
      </c>
      <c r="AC450">
        <v>20.77</v>
      </c>
      <c r="AE450">
        <v>2</v>
      </c>
      <c r="AF450" t="s">
        <v>167</v>
      </c>
      <c r="AG450">
        <v>60</v>
      </c>
      <c r="AK450" t="s">
        <v>102</v>
      </c>
      <c r="AL450">
        <v>2</v>
      </c>
      <c r="AM450" t="s">
        <v>102</v>
      </c>
      <c r="AN450" t="s">
        <v>102</v>
      </c>
      <c r="AO450" t="s">
        <v>102</v>
      </c>
      <c r="AP450" t="s">
        <v>117</v>
      </c>
      <c r="AQ450" t="s">
        <v>104</v>
      </c>
      <c r="AV450" t="s">
        <v>102</v>
      </c>
      <c r="AX450" t="s">
        <v>2141</v>
      </c>
      <c r="AZ450" t="s">
        <v>163</v>
      </c>
      <c r="BB450" t="s">
        <v>118</v>
      </c>
      <c r="BC450" t="s">
        <v>2148</v>
      </c>
      <c r="BF450" t="s">
        <v>2149</v>
      </c>
      <c r="BG450" t="s">
        <v>102</v>
      </c>
      <c r="BH450" t="s">
        <v>102</v>
      </c>
      <c r="BI450" t="s">
        <v>102</v>
      </c>
      <c r="BK450" t="s">
        <v>107</v>
      </c>
      <c r="BL450" t="s">
        <v>180</v>
      </c>
      <c r="BM450">
        <v>4.75</v>
      </c>
      <c r="BN450">
        <v>4.75</v>
      </c>
      <c r="CA450" t="s">
        <v>2147</v>
      </c>
      <c r="CB450" t="s">
        <v>2141</v>
      </c>
      <c r="CL450" t="s">
        <v>100</v>
      </c>
      <c r="CM450" t="s">
        <v>102</v>
      </c>
      <c r="CO450" s="1">
        <v>38623</v>
      </c>
      <c r="CP450" s="1">
        <v>43634</v>
      </c>
    </row>
    <row r="451" spans="1:94" x14ac:dyDescent="0.25">
      <c r="A451" t="s">
        <v>2150</v>
      </c>
      <c r="B451" t="str">
        <f xml:space="preserve"> "" &amp; 840254036727</f>
        <v>840254036727</v>
      </c>
      <c r="C451" t="s">
        <v>1048</v>
      </c>
      <c r="D451" t="s">
        <v>2151</v>
      </c>
      <c r="F451" t="s">
        <v>710</v>
      </c>
      <c r="G451">
        <v>1</v>
      </c>
      <c r="H451">
        <v>1</v>
      </c>
      <c r="I451" t="s">
        <v>99</v>
      </c>
      <c r="J451" s="4">
        <v>1295</v>
      </c>
      <c r="K451" s="4">
        <v>3885</v>
      </c>
      <c r="O451" t="s">
        <v>100</v>
      </c>
      <c r="P451" s="4">
        <v>2719.95</v>
      </c>
      <c r="S451">
        <v>13.5</v>
      </c>
      <c r="U451">
        <v>27</v>
      </c>
      <c r="W451">
        <v>29.83</v>
      </c>
      <c r="X451">
        <v>1</v>
      </c>
      <c r="Y451">
        <v>30.3</v>
      </c>
      <c r="Z451">
        <v>30.3</v>
      </c>
      <c r="AA451">
        <v>30.3</v>
      </c>
      <c r="AB451">
        <v>16.097999999999999</v>
      </c>
      <c r="AC451">
        <v>47</v>
      </c>
      <c r="AE451">
        <v>6</v>
      </c>
      <c r="AF451" t="s">
        <v>176</v>
      </c>
      <c r="AG451">
        <v>60</v>
      </c>
      <c r="AK451" t="s">
        <v>102</v>
      </c>
      <c r="AM451" t="s">
        <v>102</v>
      </c>
      <c r="AN451" t="s">
        <v>102</v>
      </c>
      <c r="AO451" t="s">
        <v>102</v>
      </c>
      <c r="AP451" t="s">
        <v>103</v>
      </c>
      <c r="AQ451" t="s">
        <v>104</v>
      </c>
      <c r="AV451" t="s">
        <v>102</v>
      </c>
      <c r="AX451" t="s">
        <v>2133</v>
      </c>
      <c r="AZ451" t="s">
        <v>163</v>
      </c>
      <c r="BF451" t="s">
        <v>2152</v>
      </c>
      <c r="BG451" t="s">
        <v>102</v>
      </c>
      <c r="BH451" t="s">
        <v>102</v>
      </c>
      <c r="BI451" t="s">
        <v>102</v>
      </c>
      <c r="BK451" t="s">
        <v>107</v>
      </c>
      <c r="CA451" t="s">
        <v>2153</v>
      </c>
      <c r="CB451" t="s">
        <v>2133</v>
      </c>
      <c r="CL451" t="s">
        <v>102</v>
      </c>
      <c r="CM451" t="s">
        <v>102</v>
      </c>
      <c r="CO451" s="1">
        <v>40289</v>
      </c>
      <c r="CP451" s="1">
        <v>43634</v>
      </c>
    </row>
    <row r="452" spans="1:94" x14ac:dyDescent="0.25">
      <c r="A452" t="s">
        <v>2154</v>
      </c>
      <c r="B452" t="str">
        <f xml:space="preserve"> "" &amp; 840254029019</f>
        <v>840254029019</v>
      </c>
      <c r="C452" t="s">
        <v>290</v>
      </c>
      <c r="D452" t="s">
        <v>290</v>
      </c>
      <c r="F452" t="s">
        <v>179</v>
      </c>
      <c r="G452">
        <v>1</v>
      </c>
      <c r="H452">
        <v>1</v>
      </c>
      <c r="I452" t="s">
        <v>99</v>
      </c>
      <c r="J452" s="4">
        <v>395</v>
      </c>
      <c r="K452" s="4">
        <v>1185</v>
      </c>
      <c r="O452" t="s">
        <v>100</v>
      </c>
      <c r="P452" s="4">
        <v>829.95</v>
      </c>
      <c r="S452">
        <v>12.75</v>
      </c>
      <c r="U452">
        <v>12.25</v>
      </c>
      <c r="V452">
        <v>4.75</v>
      </c>
      <c r="W452">
        <v>9</v>
      </c>
      <c r="X452">
        <v>1</v>
      </c>
      <c r="Y452">
        <v>16.14</v>
      </c>
      <c r="Z452">
        <v>17.32</v>
      </c>
      <c r="AA452">
        <v>17.32</v>
      </c>
      <c r="AB452">
        <v>2.802</v>
      </c>
      <c r="AC452">
        <v>5</v>
      </c>
      <c r="AE452">
        <v>1</v>
      </c>
      <c r="AF452" t="s">
        <v>167</v>
      </c>
      <c r="AG452">
        <v>60</v>
      </c>
      <c r="AK452" t="s">
        <v>102</v>
      </c>
      <c r="AM452" t="s">
        <v>102</v>
      </c>
      <c r="AN452" t="s">
        <v>102</v>
      </c>
      <c r="AO452" t="s">
        <v>102</v>
      </c>
      <c r="AP452" t="s">
        <v>117</v>
      </c>
      <c r="AQ452" t="s">
        <v>104</v>
      </c>
      <c r="AV452" t="s">
        <v>102</v>
      </c>
      <c r="AX452" t="s">
        <v>372</v>
      </c>
      <c r="AZ452" t="s">
        <v>163</v>
      </c>
      <c r="BF452" t="s">
        <v>2155</v>
      </c>
      <c r="BG452" t="s">
        <v>102</v>
      </c>
      <c r="BH452" t="s">
        <v>102</v>
      </c>
      <c r="BI452" t="s">
        <v>102</v>
      </c>
      <c r="BL452" t="s">
        <v>180</v>
      </c>
      <c r="CA452" t="s">
        <v>2154</v>
      </c>
      <c r="CB452" t="s">
        <v>372</v>
      </c>
      <c r="CL452" t="s">
        <v>102</v>
      </c>
      <c r="CM452" t="s">
        <v>102</v>
      </c>
      <c r="CO452" s="1">
        <v>38747</v>
      </c>
      <c r="CP452" s="1">
        <v>43634</v>
      </c>
    </row>
    <row r="453" spans="1:94" x14ac:dyDescent="0.25">
      <c r="A453" t="s">
        <v>2156</v>
      </c>
      <c r="B453" t="str">
        <f xml:space="preserve"> "" &amp; 840254036734</f>
        <v>840254036734</v>
      </c>
      <c r="C453" t="s">
        <v>290</v>
      </c>
      <c r="D453" t="s">
        <v>290</v>
      </c>
      <c r="F453" t="s">
        <v>179</v>
      </c>
      <c r="G453">
        <v>1</v>
      </c>
      <c r="H453">
        <v>1</v>
      </c>
      <c r="I453" t="s">
        <v>99</v>
      </c>
      <c r="J453" s="4">
        <v>395</v>
      </c>
      <c r="K453" s="4">
        <v>1185</v>
      </c>
      <c r="O453" t="s">
        <v>100</v>
      </c>
      <c r="P453" s="4">
        <v>829.95</v>
      </c>
      <c r="S453">
        <v>12.75</v>
      </c>
      <c r="U453">
        <v>12.25</v>
      </c>
      <c r="V453">
        <v>4.75</v>
      </c>
      <c r="W453">
        <v>8.6199999999999992</v>
      </c>
      <c r="X453">
        <v>1</v>
      </c>
      <c r="Y453">
        <v>14.96</v>
      </c>
      <c r="Z453">
        <v>16.54</v>
      </c>
      <c r="AA453">
        <v>16.54</v>
      </c>
      <c r="AB453">
        <v>2.3679999999999999</v>
      </c>
      <c r="AC453">
        <v>12.06</v>
      </c>
      <c r="AE453">
        <v>1</v>
      </c>
      <c r="AF453" t="s">
        <v>176</v>
      </c>
      <c r="AG453">
        <v>60</v>
      </c>
      <c r="AK453" t="s">
        <v>102</v>
      </c>
      <c r="AM453" t="s">
        <v>102</v>
      </c>
      <c r="AN453" t="s">
        <v>102</v>
      </c>
      <c r="AO453" t="s">
        <v>102</v>
      </c>
      <c r="AP453" t="s">
        <v>117</v>
      </c>
      <c r="AQ453" t="s">
        <v>104</v>
      </c>
      <c r="AV453" t="s">
        <v>102</v>
      </c>
      <c r="AX453" t="s">
        <v>2133</v>
      </c>
      <c r="AZ453" t="s">
        <v>163</v>
      </c>
      <c r="BF453" t="s">
        <v>2157</v>
      </c>
      <c r="BG453" t="s">
        <v>102</v>
      </c>
      <c r="BH453" t="s">
        <v>102</v>
      </c>
      <c r="BI453" t="s">
        <v>102</v>
      </c>
      <c r="BK453" t="s">
        <v>107</v>
      </c>
      <c r="BL453" t="s">
        <v>180</v>
      </c>
      <c r="CA453" t="s">
        <v>2154</v>
      </c>
      <c r="CB453" t="s">
        <v>2133</v>
      </c>
      <c r="CL453" t="s">
        <v>102</v>
      </c>
      <c r="CM453" t="s">
        <v>102</v>
      </c>
      <c r="CO453" s="1">
        <v>40289</v>
      </c>
      <c r="CP453" s="1">
        <v>43634</v>
      </c>
    </row>
    <row r="454" spans="1:94" x14ac:dyDescent="0.25">
      <c r="A454" t="s">
        <v>2158</v>
      </c>
      <c r="B454" t="str">
        <f xml:space="preserve"> "" &amp; 840254045217</f>
        <v>840254045217</v>
      </c>
      <c r="C454" t="s">
        <v>178</v>
      </c>
      <c r="D454" t="s">
        <v>178</v>
      </c>
      <c r="F454" t="s">
        <v>179</v>
      </c>
      <c r="G454">
        <v>1</v>
      </c>
      <c r="H454">
        <v>1</v>
      </c>
      <c r="I454" t="s">
        <v>99</v>
      </c>
      <c r="J454" s="4">
        <v>395</v>
      </c>
      <c r="K454" s="4">
        <v>1185</v>
      </c>
      <c r="O454" t="s">
        <v>100</v>
      </c>
      <c r="P454" s="4">
        <v>829.95</v>
      </c>
      <c r="S454">
        <v>8.34</v>
      </c>
      <c r="T454">
        <v>18.11</v>
      </c>
      <c r="U454">
        <v>18.11</v>
      </c>
      <c r="W454">
        <v>6.17</v>
      </c>
      <c r="X454">
        <v>1</v>
      </c>
      <c r="Y454">
        <v>14.45</v>
      </c>
      <c r="Z454">
        <v>13.5</v>
      </c>
      <c r="AA454">
        <v>21.5</v>
      </c>
      <c r="AB454">
        <v>2.427</v>
      </c>
      <c r="AC454">
        <v>14.45</v>
      </c>
      <c r="AE454">
        <v>2</v>
      </c>
      <c r="AF454" t="s">
        <v>2159</v>
      </c>
      <c r="AG454">
        <v>40</v>
      </c>
      <c r="AK454" t="s">
        <v>102</v>
      </c>
      <c r="AM454" t="s">
        <v>102</v>
      </c>
      <c r="AN454" t="s">
        <v>102</v>
      </c>
      <c r="AO454" t="s">
        <v>102</v>
      </c>
      <c r="AP454" t="s">
        <v>117</v>
      </c>
      <c r="AV454" t="s">
        <v>102</v>
      </c>
      <c r="AX454" t="s">
        <v>372</v>
      </c>
      <c r="AZ454" t="s">
        <v>622</v>
      </c>
      <c r="BB454" t="s">
        <v>118</v>
      </c>
      <c r="BC454" t="s">
        <v>2160</v>
      </c>
      <c r="BF454" t="s">
        <v>2161</v>
      </c>
      <c r="BG454" t="s">
        <v>102</v>
      </c>
      <c r="BH454" t="s">
        <v>102</v>
      </c>
      <c r="BI454" t="s">
        <v>102</v>
      </c>
      <c r="BR454">
        <v>0.78</v>
      </c>
      <c r="BS454">
        <v>4.13</v>
      </c>
      <c r="BT454">
        <v>3.94</v>
      </c>
      <c r="CB454" t="s">
        <v>372</v>
      </c>
      <c r="CL454" t="s">
        <v>102</v>
      </c>
      <c r="CM454" t="s">
        <v>102</v>
      </c>
      <c r="CO454" s="1">
        <v>42205</v>
      </c>
      <c r="CP454" s="1">
        <v>43634</v>
      </c>
    </row>
    <row r="455" spans="1:94" x14ac:dyDescent="0.25">
      <c r="A455" t="s">
        <v>2162</v>
      </c>
      <c r="B455" t="str">
        <f xml:space="preserve"> "" &amp; 840254045200</f>
        <v>840254045200</v>
      </c>
      <c r="C455" t="s">
        <v>178</v>
      </c>
      <c r="D455" t="s">
        <v>178</v>
      </c>
      <c r="F455" t="s">
        <v>179</v>
      </c>
      <c r="G455">
        <v>1</v>
      </c>
      <c r="H455">
        <v>1</v>
      </c>
      <c r="I455" t="s">
        <v>99</v>
      </c>
      <c r="J455" s="4">
        <v>225</v>
      </c>
      <c r="K455" s="4">
        <v>675</v>
      </c>
      <c r="O455" t="s">
        <v>100</v>
      </c>
      <c r="P455" s="4">
        <v>469.95</v>
      </c>
      <c r="S455">
        <v>9.75</v>
      </c>
      <c r="T455">
        <v>14.25</v>
      </c>
      <c r="U455">
        <v>14.25</v>
      </c>
      <c r="V455">
        <v>6.75</v>
      </c>
      <c r="W455">
        <v>5.29</v>
      </c>
      <c r="X455">
        <v>1</v>
      </c>
      <c r="Y455">
        <v>14.96</v>
      </c>
      <c r="Z455">
        <v>16.535</v>
      </c>
      <c r="AA455">
        <v>16.535</v>
      </c>
      <c r="AB455">
        <v>2.367</v>
      </c>
      <c r="AC455">
        <v>8.14</v>
      </c>
      <c r="AE455">
        <v>2</v>
      </c>
      <c r="AF455" t="s">
        <v>2111</v>
      </c>
      <c r="AG455">
        <v>60</v>
      </c>
      <c r="AK455" t="s">
        <v>102</v>
      </c>
      <c r="AM455" t="s">
        <v>102</v>
      </c>
      <c r="AN455" t="s">
        <v>102</v>
      </c>
      <c r="AO455" t="s">
        <v>102</v>
      </c>
      <c r="AP455" t="s">
        <v>117</v>
      </c>
      <c r="AV455" t="s">
        <v>102</v>
      </c>
      <c r="AX455" t="s">
        <v>372</v>
      </c>
      <c r="BB455" t="s">
        <v>118</v>
      </c>
      <c r="BC455" t="s">
        <v>2163</v>
      </c>
      <c r="BF455" t="s">
        <v>2164</v>
      </c>
      <c r="BG455" t="s">
        <v>102</v>
      </c>
      <c r="BH455" t="s">
        <v>102</v>
      </c>
      <c r="BI455" t="s">
        <v>102</v>
      </c>
      <c r="BR455">
        <v>0.78</v>
      </c>
      <c r="BS455">
        <v>4.13</v>
      </c>
      <c r="BT455">
        <v>3.93</v>
      </c>
      <c r="CB455" t="s">
        <v>372</v>
      </c>
      <c r="CL455" t="s">
        <v>102</v>
      </c>
      <c r="CM455" t="s">
        <v>102</v>
      </c>
      <c r="CO455" s="1">
        <v>42205</v>
      </c>
      <c r="CP455" s="1">
        <v>43634</v>
      </c>
    </row>
    <row r="456" spans="1:94" x14ac:dyDescent="0.25">
      <c r="A456" t="s">
        <v>2165</v>
      </c>
      <c r="B456" t="str">
        <f xml:space="preserve"> "" &amp; 840254045187</f>
        <v>840254045187</v>
      </c>
      <c r="C456" t="s">
        <v>290</v>
      </c>
      <c r="D456" t="s">
        <v>290</v>
      </c>
      <c r="F456" t="s">
        <v>179</v>
      </c>
      <c r="G456">
        <v>1</v>
      </c>
      <c r="H456">
        <v>1</v>
      </c>
      <c r="I456" t="s">
        <v>99</v>
      </c>
      <c r="J456" s="4">
        <v>385</v>
      </c>
      <c r="K456" s="4">
        <v>1155</v>
      </c>
      <c r="O456" t="s">
        <v>100</v>
      </c>
      <c r="P456" s="4">
        <v>809.95</v>
      </c>
      <c r="S456">
        <v>15.75</v>
      </c>
      <c r="U456">
        <v>8.75</v>
      </c>
      <c r="V456">
        <v>10.5</v>
      </c>
      <c r="W456">
        <v>8.3800000000000008</v>
      </c>
      <c r="X456">
        <v>1</v>
      </c>
      <c r="Y456">
        <v>12.99</v>
      </c>
      <c r="Z456">
        <v>12.598000000000001</v>
      </c>
      <c r="AA456">
        <v>20.472000000000001</v>
      </c>
      <c r="AB456">
        <v>1.9390000000000001</v>
      </c>
      <c r="AC456">
        <v>8.36</v>
      </c>
      <c r="AE456">
        <v>1</v>
      </c>
      <c r="AF456" t="s">
        <v>383</v>
      </c>
      <c r="AG456">
        <v>40</v>
      </c>
      <c r="AK456" t="s">
        <v>102</v>
      </c>
      <c r="AL456">
        <v>1</v>
      </c>
      <c r="AM456" t="s">
        <v>102</v>
      </c>
      <c r="AN456" t="s">
        <v>102</v>
      </c>
      <c r="AO456" t="s">
        <v>102</v>
      </c>
      <c r="AP456" t="s">
        <v>117</v>
      </c>
      <c r="AQ456" t="s">
        <v>104</v>
      </c>
      <c r="AV456" t="s">
        <v>102</v>
      </c>
      <c r="AX456" t="s">
        <v>372</v>
      </c>
      <c r="AZ456" t="s">
        <v>200</v>
      </c>
      <c r="BB456" t="s">
        <v>118</v>
      </c>
      <c r="BC456" t="s">
        <v>2160</v>
      </c>
      <c r="BF456" t="s">
        <v>2166</v>
      </c>
      <c r="BG456" t="s">
        <v>102</v>
      </c>
      <c r="BH456" t="s">
        <v>102</v>
      </c>
      <c r="BI456" t="s">
        <v>102</v>
      </c>
      <c r="BK456" t="s">
        <v>107</v>
      </c>
      <c r="BM456">
        <v>4.75</v>
      </c>
      <c r="BN456">
        <v>7</v>
      </c>
      <c r="CA456" t="s">
        <v>2165</v>
      </c>
      <c r="CB456" t="s">
        <v>372</v>
      </c>
      <c r="CL456" t="s">
        <v>100</v>
      </c>
      <c r="CM456" t="s">
        <v>102</v>
      </c>
      <c r="CO456" s="1">
        <v>42205</v>
      </c>
      <c r="CP456" s="1">
        <v>43595</v>
      </c>
    </row>
    <row r="457" spans="1:94" x14ac:dyDescent="0.25">
      <c r="A457" t="s">
        <v>2167</v>
      </c>
      <c r="B457" t="str">
        <f xml:space="preserve"> "" &amp; 840254045279</f>
        <v>840254045279</v>
      </c>
      <c r="C457" t="s">
        <v>1535</v>
      </c>
      <c r="D457" t="s">
        <v>2168</v>
      </c>
      <c r="F457" t="s">
        <v>98</v>
      </c>
      <c r="G457">
        <v>1</v>
      </c>
      <c r="H457">
        <v>1</v>
      </c>
      <c r="I457" t="s">
        <v>99</v>
      </c>
      <c r="J457" s="4">
        <v>2495</v>
      </c>
      <c r="K457" s="4">
        <v>7485</v>
      </c>
      <c r="O457" t="s">
        <v>100</v>
      </c>
      <c r="P457" s="4">
        <v>5239.95</v>
      </c>
      <c r="S457">
        <v>38</v>
      </c>
      <c r="T457">
        <v>32.5</v>
      </c>
      <c r="U457">
        <v>32.28</v>
      </c>
      <c r="W457">
        <v>73.59</v>
      </c>
      <c r="X457">
        <v>2</v>
      </c>
      <c r="Y457">
        <v>28.74</v>
      </c>
      <c r="Z457">
        <v>32.283000000000001</v>
      </c>
      <c r="AA457">
        <v>32.283000000000001</v>
      </c>
      <c r="AB457">
        <v>17.334</v>
      </c>
      <c r="AC457">
        <v>112.2</v>
      </c>
      <c r="AE457">
        <v>10</v>
      </c>
      <c r="AF457" t="s">
        <v>2111</v>
      </c>
      <c r="AG457">
        <v>60</v>
      </c>
      <c r="AH457">
        <v>1</v>
      </c>
      <c r="AI457" t="s">
        <v>2111</v>
      </c>
      <c r="AJ457">
        <v>40</v>
      </c>
      <c r="AK457" t="s">
        <v>102</v>
      </c>
      <c r="AM457" t="s">
        <v>102</v>
      </c>
      <c r="AN457" t="s">
        <v>102</v>
      </c>
      <c r="AO457" t="s">
        <v>102</v>
      </c>
      <c r="AP457" t="s">
        <v>103</v>
      </c>
      <c r="AQ457" t="s">
        <v>104</v>
      </c>
      <c r="AV457" t="s">
        <v>102</v>
      </c>
      <c r="AX457" t="s">
        <v>268</v>
      </c>
      <c r="AZ457" t="s">
        <v>622</v>
      </c>
      <c r="BC457" t="s">
        <v>268</v>
      </c>
      <c r="BF457" t="s">
        <v>2169</v>
      </c>
      <c r="BG457" t="s">
        <v>102</v>
      </c>
      <c r="BH457" t="s">
        <v>102</v>
      </c>
      <c r="BI457" t="s">
        <v>102</v>
      </c>
      <c r="BR457">
        <v>2.36</v>
      </c>
      <c r="BS457">
        <v>7.28</v>
      </c>
      <c r="BT457">
        <v>7.28</v>
      </c>
      <c r="CB457" t="s">
        <v>268</v>
      </c>
      <c r="CL457" t="s">
        <v>102</v>
      </c>
      <c r="CM457" t="s">
        <v>102</v>
      </c>
      <c r="CO457" s="1">
        <v>42205</v>
      </c>
      <c r="CP457" s="1">
        <v>43634</v>
      </c>
    </row>
    <row r="458" spans="1:94" x14ac:dyDescent="0.25">
      <c r="A458" t="s">
        <v>2170</v>
      </c>
      <c r="B458" t="str">
        <f xml:space="preserve"> "" &amp; 840254026674</f>
        <v>840254026674</v>
      </c>
      <c r="C458" t="s">
        <v>370</v>
      </c>
      <c r="D458" t="s">
        <v>370</v>
      </c>
      <c r="F458" t="s">
        <v>371</v>
      </c>
      <c r="G458">
        <v>1</v>
      </c>
      <c r="H458">
        <v>1</v>
      </c>
      <c r="I458" t="s">
        <v>99</v>
      </c>
      <c r="J458" s="4">
        <v>3995</v>
      </c>
      <c r="K458" s="4">
        <v>11985</v>
      </c>
      <c r="O458" t="s">
        <v>100</v>
      </c>
      <c r="P458" s="4">
        <v>8389.9500000000007</v>
      </c>
      <c r="S458">
        <v>44.5</v>
      </c>
      <c r="U458">
        <v>24</v>
      </c>
      <c r="W458">
        <v>69</v>
      </c>
      <c r="X458">
        <v>2</v>
      </c>
      <c r="Y458">
        <v>51</v>
      </c>
      <c r="Z458">
        <v>27</v>
      </c>
      <c r="AA458">
        <v>27</v>
      </c>
      <c r="AB458">
        <v>21.515999999999998</v>
      </c>
      <c r="AC458">
        <v>105</v>
      </c>
      <c r="AE458">
        <v>9</v>
      </c>
      <c r="AF458" t="s">
        <v>383</v>
      </c>
      <c r="AG458">
        <v>60</v>
      </c>
      <c r="AK458" t="s">
        <v>102</v>
      </c>
      <c r="AM458" t="s">
        <v>102</v>
      </c>
      <c r="AN458" t="s">
        <v>102</v>
      </c>
      <c r="AO458" t="s">
        <v>102</v>
      </c>
      <c r="AP458" t="s">
        <v>103</v>
      </c>
      <c r="AQ458" t="s">
        <v>104</v>
      </c>
      <c r="AV458" t="s">
        <v>102</v>
      </c>
      <c r="AZ458" t="s">
        <v>163</v>
      </c>
      <c r="BF458" t="s">
        <v>2171</v>
      </c>
      <c r="BG458" t="s">
        <v>102</v>
      </c>
      <c r="BH458" t="s">
        <v>102</v>
      </c>
      <c r="BI458" t="s">
        <v>102</v>
      </c>
      <c r="CA458" t="s">
        <v>2170</v>
      </c>
      <c r="CL458" t="s">
        <v>102</v>
      </c>
      <c r="CM458" t="s">
        <v>102</v>
      </c>
      <c r="CO458" s="1">
        <v>38509</v>
      </c>
      <c r="CP458" s="1">
        <v>43634</v>
      </c>
    </row>
    <row r="459" spans="1:94" x14ac:dyDescent="0.25">
      <c r="A459" t="s">
        <v>2172</v>
      </c>
      <c r="B459" t="str">
        <f xml:space="preserve"> "" &amp; 840254026681</f>
        <v>840254026681</v>
      </c>
      <c r="C459" t="s">
        <v>178</v>
      </c>
      <c r="D459" t="s">
        <v>178</v>
      </c>
      <c r="F459" t="s">
        <v>179</v>
      </c>
      <c r="G459">
        <v>1</v>
      </c>
      <c r="H459">
        <v>1</v>
      </c>
      <c r="I459" t="s">
        <v>99</v>
      </c>
      <c r="J459" s="4">
        <v>550</v>
      </c>
      <c r="K459" s="4">
        <v>1650</v>
      </c>
      <c r="O459" t="s">
        <v>100</v>
      </c>
      <c r="P459" s="4">
        <v>1154.95</v>
      </c>
      <c r="S459">
        <v>24</v>
      </c>
      <c r="U459">
        <v>11.25</v>
      </c>
      <c r="V459">
        <v>7</v>
      </c>
      <c r="W459">
        <v>8.8000000000000007</v>
      </c>
      <c r="X459">
        <v>1</v>
      </c>
      <c r="Y459">
        <v>10.199999999999999</v>
      </c>
      <c r="Z459">
        <v>16.5</v>
      </c>
      <c r="AA459">
        <v>16.5</v>
      </c>
      <c r="AB459">
        <v>1.607</v>
      </c>
      <c r="AC459">
        <v>13.2</v>
      </c>
      <c r="AE459">
        <v>2</v>
      </c>
      <c r="AF459" t="s">
        <v>101</v>
      </c>
      <c r="AG459">
        <v>60</v>
      </c>
      <c r="AK459" t="s">
        <v>102</v>
      </c>
      <c r="AM459" t="s">
        <v>102</v>
      </c>
      <c r="AN459" t="s">
        <v>102</v>
      </c>
      <c r="AO459" t="s">
        <v>102</v>
      </c>
      <c r="AP459" t="s">
        <v>117</v>
      </c>
      <c r="AQ459" t="s">
        <v>104</v>
      </c>
      <c r="AV459" t="s">
        <v>102</v>
      </c>
      <c r="AX459" t="s">
        <v>297</v>
      </c>
      <c r="AZ459" t="s">
        <v>163</v>
      </c>
      <c r="BF459" t="s">
        <v>2173</v>
      </c>
      <c r="BG459" t="s">
        <v>102</v>
      </c>
      <c r="BH459" t="s">
        <v>102</v>
      </c>
      <c r="BI459" t="s">
        <v>102</v>
      </c>
      <c r="BK459" t="s">
        <v>107</v>
      </c>
      <c r="BL459" t="s">
        <v>180</v>
      </c>
      <c r="CA459" t="s">
        <v>2172</v>
      </c>
      <c r="CB459" t="s">
        <v>297</v>
      </c>
      <c r="CL459" t="s">
        <v>102</v>
      </c>
      <c r="CM459" t="s">
        <v>102</v>
      </c>
      <c r="CN459" t="s">
        <v>361</v>
      </c>
      <c r="CO459" s="1">
        <v>41760</v>
      </c>
      <c r="CP459" s="1">
        <v>43634</v>
      </c>
    </row>
    <row r="460" spans="1:94" x14ac:dyDescent="0.25">
      <c r="A460" t="s">
        <v>2174</v>
      </c>
      <c r="B460" t="str">
        <f xml:space="preserve"> "" &amp; 840254032132</f>
        <v>840254032132</v>
      </c>
      <c r="C460" t="s">
        <v>370</v>
      </c>
      <c r="D460" t="s">
        <v>370</v>
      </c>
      <c r="F460" t="s">
        <v>371</v>
      </c>
      <c r="G460">
        <v>1</v>
      </c>
      <c r="H460">
        <v>1</v>
      </c>
      <c r="I460" t="s">
        <v>99</v>
      </c>
      <c r="J460" s="4">
        <v>3995</v>
      </c>
      <c r="K460" s="4">
        <v>11985</v>
      </c>
      <c r="O460" t="s">
        <v>100</v>
      </c>
      <c r="P460" s="4">
        <v>8389.9500000000007</v>
      </c>
      <c r="S460">
        <v>47.75</v>
      </c>
      <c r="T460">
        <v>26.5</v>
      </c>
      <c r="U460">
        <v>26.5</v>
      </c>
      <c r="W460">
        <v>92</v>
      </c>
      <c r="X460">
        <v>1</v>
      </c>
      <c r="Y460">
        <v>51.18</v>
      </c>
      <c r="Z460">
        <v>35.43</v>
      </c>
      <c r="AA460">
        <v>35.43</v>
      </c>
      <c r="AB460">
        <v>37.179000000000002</v>
      </c>
      <c r="AC460">
        <v>125.4</v>
      </c>
      <c r="AE460">
        <v>9</v>
      </c>
      <c r="AF460" t="s">
        <v>101</v>
      </c>
      <c r="AG460">
        <v>40</v>
      </c>
      <c r="AK460" t="s">
        <v>102</v>
      </c>
      <c r="AM460" t="s">
        <v>102</v>
      </c>
      <c r="AN460" t="s">
        <v>102</v>
      </c>
      <c r="AO460" t="s">
        <v>102</v>
      </c>
      <c r="AP460" t="s">
        <v>103</v>
      </c>
      <c r="AQ460" t="s">
        <v>104</v>
      </c>
      <c r="AV460" t="s">
        <v>102</v>
      </c>
      <c r="AX460" t="s">
        <v>297</v>
      </c>
      <c r="AZ460" t="s">
        <v>163</v>
      </c>
      <c r="BB460" t="s">
        <v>54</v>
      </c>
      <c r="BC460" t="s">
        <v>2175</v>
      </c>
      <c r="BF460" t="s">
        <v>2176</v>
      </c>
      <c r="BG460" t="s">
        <v>102</v>
      </c>
      <c r="BH460" t="s">
        <v>102</v>
      </c>
      <c r="BI460" t="s">
        <v>102</v>
      </c>
      <c r="BK460" t="s">
        <v>107</v>
      </c>
      <c r="BQ460">
        <v>8</v>
      </c>
      <c r="BR460">
        <v>2.88</v>
      </c>
      <c r="BS460">
        <v>8</v>
      </c>
      <c r="BT460">
        <v>8</v>
      </c>
      <c r="CA460" t="s">
        <v>2174</v>
      </c>
      <c r="CB460" t="s">
        <v>297</v>
      </c>
      <c r="CL460" t="s">
        <v>102</v>
      </c>
      <c r="CM460" t="s">
        <v>102</v>
      </c>
      <c r="CN460" t="s">
        <v>2177</v>
      </c>
      <c r="CO460" s="1">
        <v>41760</v>
      </c>
      <c r="CP460" s="1">
        <v>43634</v>
      </c>
    </row>
    <row r="461" spans="1:94" x14ac:dyDescent="0.25">
      <c r="A461" t="s">
        <v>2178</v>
      </c>
      <c r="B461" t="str">
        <f xml:space="preserve"> "" &amp; 840254026698</f>
        <v>840254026698</v>
      </c>
      <c r="C461" t="s">
        <v>401</v>
      </c>
      <c r="D461" t="s">
        <v>401</v>
      </c>
      <c r="F461" t="s">
        <v>371</v>
      </c>
      <c r="G461">
        <v>1</v>
      </c>
      <c r="H461">
        <v>1</v>
      </c>
      <c r="I461" t="s">
        <v>99</v>
      </c>
      <c r="J461" s="4">
        <v>7995</v>
      </c>
      <c r="K461" s="4">
        <v>23985</v>
      </c>
      <c r="O461" t="s">
        <v>100</v>
      </c>
      <c r="P461" s="4">
        <v>16789.95</v>
      </c>
      <c r="S461">
        <v>61.25</v>
      </c>
      <c r="T461">
        <v>35</v>
      </c>
      <c r="U461">
        <v>35</v>
      </c>
      <c r="W461">
        <v>110.01</v>
      </c>
      <c r="X461">
        <v>2</v>
      </c>
      <c r="Y461">
        <v>79</v>
      </c>
      <c r="Z461">
        <v>46</v>
      </c>
      <c r="AA461">
        <v>46</v>
      </c>
      <c r="AB461">
        <v>96.738</v>
      </c>
      <c r="AC461">
        <v>170</v>
      </c>
      <c r="AE461">
        <v>12</v>
      </c>
      <c r="AF461" t="s">
        <v>101</v>
      </c>
      <c r="AG461">
        <v>60</v>
      </c>
      <c r="AK461" t="s">
        <v>102</v>
      </c>
      <c r="AM461" t="s">
        <v>102</v>
      </c>
      <c r="AN461" t="s">
        <v>102</v>
      </c>
      <c r="AO461" t="s">
        <v>102</v>
      </c>
      <c r="AP461" t="s">
        <v>103</v>
      </c>
      <c r="AQ461" t="s">
        <v>104</v>
      </c>
      <c r="AV461" t="s">
        <v>102</v>
      </c>
      <c r="AZ461" t="s">
        <v>163</v>
      </c>
      <c r="BB461" t="s">
        <v>54</v>
      </c>
      <c r="BC461" t="s">
        <v>373</v>
      </c>
      <c r="BF461" t="s">
        <v>2179</v>
      </c>
      <c r="BG461" t="s">
        <v>102</v>
      </c>
      <c r="BH461" t="s">
        <v>102</v>
      </c>
      <c r="BI461" t="s">
        <v>102</v>
      </c>
      <c r="BK461" t="s">
        <v>107</v>
      </c>
      <c r="BQ461">
        <v>8</v>
      </c>
      <c r="BR461">
        <v>2.88</v>
      </c>
      <c r="BS461">
        <v>8</v>
      </c>
      <c r="BT461">
        <v>8</v>
      </c>
      <c r="CA461" t="s">
        <v>2178</v>
      </c>
      <c r="CL461" t="s">
        <v>100</v>
      </c>
      <c r="CM461" t="s">
        <v>102</v>
      </c>
      <c r="CN461" t="s">
        <v>375</v>
      </c>
      <c r="CO461" s="1">
        <v>41760</v>
      </c>
      <c r="CP461" s="1">
        <v>43634</v>
      </c>
    </row>
    <row r="462" spans="1:94" x14ac:dyDescent="0.25">
      <c r="A462" t="s">
        <v>2180</v>
      </c>
      <c r="B462" t="str">
        <f xml:space="preserve"> "" &amp; 840254027008</f>
        <v>840254027008</v>
      </c>
      <c r="C462" t="s">
        <v>230</v>
      </c>
      <c r="D462" t="s">
        <v>230</v>
      </c>
      <c r="F462" t="s">
        <v>179</v>
      </c>
      <c r="G462">
        <v>1</v>
      </c>
      <c r="H462">
        <v>1</v>
      </c>
      <c r="I462" t="s">
        <v>99</v>
      </c>
      <c r="J462" s="4">
        <v>900</v>
      </c>
      <c r="K462" s="4">
        <v>2700</v>
      </c>
      <c r="O462" t="s">
        <v>100</v>
      </c>
      <c r="P462" s="4">
        <v>1889.95</v>
      </c>
      <c r="S462">
        <v>17.5</v>
      </c>
      <c r="U462">
        <v>13.5</v>
      </c>
      <c r="V462">
        <v>8.25</v>
      </c>
      <c r="W462">
        <v>17</v>
      </c>
      <c r="X462">
        <v>1</v>
      </c>
      <c r="Y462">
        <v>13</v>
      </c>
      <c r="Z462">
        <v>19</v>
      </c>
      <c r="AA462">
        <v>19</v>
      </c>
      <c r="AB462">
        <v>2.7160000000000002</v>
      </c>
      <c r="AC462">
        <v>21.01</v>
      </c>
      <c r="AE462">
        <v>3</v>
      </c>
      <c r="AF462" t="s">
        <v>383</v>
      </c>
      <c r="AG462">
        <v>60</v>
      </c>
      <c r="AK462" t="s">
        <v>102</v>
      </c>
      <c r="AL462">
        <v>3</v>
      </c>
      <c r="AM462" t="s">
        <v>102</v>
      </c>
      <c r="AN462" t="s">
        <v>102</v>
      </c>
      <c r="AO462" t="s">
        <v>102</v>
      </c>
      <c r="AP462" t="s">
        <v>117</v>
      </c>
      <c r="AQ462" t="s">
        <v>104</v>
      </c>
      <c r="AV462" t="s">
        <v>102</v>
      </c>
      <c r="AX462" t="s">
        <v>2181</v>
      </c>
      <c r="AZ462" t="s">
        <v>163</v>
      </c>
      <c r="BD462" t="s">
        <v>2052</v>
      </c>
      <c r="BF462" t="s">
        <v>2182</v>
      </c>
      <c r="BG462" t="s">
        <v>102</v>
      </c>
      <c r="BH462" t="s">
        <v>102</v>
      </c>
      <c r="BI462" t="s">
        <v>102</v>
      </c>
      <c r="BK462" t="s">
        <v>107</v>
      </c>
      <c r="BL462" t="s">
        <v>180</v>
      </c>
      <c r="BM462">
        <v>4.63</v>
      </c>
      <c r="CA462" t="s">
        <v>2180</v>
      </c>
      <c r="CB462" t="s">
        <v>2181</v>
      </c>
      <c r="CL462" t="s">
        <v>102</v>
      </c>
      <c r="CM462" t="s">
        <v>102</v>
      </c>
      <c r="CO462" s="1">
        <v>39706</v>
      </c>
      <c r="CP462" s="1">
        <v>43634</v>
      </c>
    </row>
    <row r="463" spans="1:94" x14ac:dyDescent="0.25">
      <c r="A463" t="s">
        <v>2183</v>
      </c>
      <c r="B463" t="str">
        <f xml:space="preserve"> "" &amp; 840254027015</f>
        <v>840254027015</v>
      </c>
      <c r="C463" t="s">
        <v>178</v>
      </c>
      <c r="D463" t="s">
        <v>178</v>
      </c>
      <c r="F463" t="s">
        <v>179</v>
      </c>
      <c r="G463">
        <v>1</v>
      </c>
      <c r="H463">
        <v>1</v>
      </c>
      <c r="I463" t="s">
        <v>99</v>
      </c>
      <c r="J463" s="4">
        <v>900</v>
      </c>
      <c r="K463" s="4">
        <v>2700</v>
      </c>
      <c r="O463" t="s">
        <v>100</v>
      </c>
      <c r="P463" s="4">
        <v>1889.95</v>
      </c>
      <c r="S463">
        <v>22</v>
      </c>
      <c r="U463">
        <v>13.5</v>
      </c>
      <c r="V463">
        <v>7.5</v>
      </c>
      <c r="W463">
        <v>10</v>
      </c>
      <c r="X463">
        <v>1</v>
      </c>
      <c r="Y463">
        <v>16.5</v>
      </c>
      <c r="Z463">
        <v>32.299999999999997</v>
      </c>
      <c r="AA463">
        <v>16.5</v>
      </c>
      <c r="AB463">
        <v>5.0890000000000004</v>
      </c>
      <c r="AC463">
        <v>19.8</v>
      </c>
      <c r="AE463">
        <v>2</v>
      </c>
      <c r="AF463" t="s">
        <v>383</v>
      </c>
      <c r="AG463">
        <v>60</v>
      </c>
      <c r="AK463" t="s">
        <v>102</v>
      </c>
      <c r="AL463">
        <v>2</v>
      </c>
      <c r="AM463" t="s">
        <v>102</v>
      </c>
      <c r="AN463" t="s">
        <v>102</v>
      </c>
      <c r="AO463" t="s">
        <v>102</v>
      </c>
      <c r="AP463" t="s">
        <v>117</v>
      </c>
      <c r="AQ463" t="s">
        <v>104</v>
      </c>
      <c r="AV463" t="s">
        <v>102</v>
      </c>
      <c r="AZ463" t="s">
        <v>163</v>
      </c>
      <c r="BD463" t="s">
        <v>2052</v>
      </c>
      <c r="BF463" t="s">
        <v>2184</v>
      </c>
      <c r="BG463" t="s">
        <v>102</v>
      </c>
      <c r="BH463" t="s">
        <v>102</v>
      </c>
      <c r="BI463" t="s">
        <v>102</v>
      </c>
      <c r="BL463" t="s">
        <v>180</v>
      </c>
      <c r="CA463" t="s">
        <v>2183</v>
      </c>
      <c r="CL463" t="s">
        <v>102</v>
      </c>
      <c r="CM463" t="s">
        <v>102</v>
      </c>
      <c r="CO463" s="1">
        <v>39706</v>
      </c>
      <c r="CP463" s="1">
        <v>43634</v>
      </c>
    </row>
    <row r="464" spans="1:94" x14ac:dyDescent="0.25">
      <c r="A464" t="s">
        <v>2185</v>
      </c>
      <c r="B464" t="str">
        <f xml:space="preserve"> "" &amp; 840254039117</f>
        <v>840254039117</v>
      </c>
      <c r="C464" t="s">
        <v>290</v>
      </c>
      <c r="D464" t="s">
        <v>290</v>
      </c>
      <c r="F464" t="s">
        <v>179</v>
      </c>
      <c r="G464">
        <v>1</v>
      </c>
      <c r="H464">
        <v>1</v>
      </c>
      <c r="I464" t="s">
        <v>99</v>
      </c>
      <c r="J464" s="4">
        <v>450</v>
      </c>
      <c r="K464" s="4">
        <v>1350</v>
      </c>
      <c r="O464" t="s">
        <v>100</v>
      </c>
      <c r="P464" s="4">
        <v>944.95</v>
      </c>
      <c r="S464">
        <v>21.25</v>
      </c>
      <c r="U464">
        <v>5</v>
      </c>
      <c r="V464">
        <v>7</v>
      </c>
      <c r="W464">
        <v>3.99</v>
      </c>
      <c r="X464">
        <v>1</v>
      </c>
      <c r="Y464">
        <v>8</v>
      </c>
      <c r="Z464">
        <v>22.5</v>
      </c>
      <c r="AA464">
        <v>8</v>
      </c>
      <c r="AB464">
        <v>0.83299999999999996</v>
      </c>
      <c r="AC464">
        <v>6.6</v>
      </c>
      <c r="AE464">
        <v>1</v>
      </c>
      <c r="AF464" t="s">
        <v>383</v>
      </c>
      <c r="AG464">
        <v>60</v>
      </c>
      <c r="AK464" t="s">
        <v>102</v>
      </c>
      <c r="AM464" t="s">
        <v>102</v>
      </c>
      <c r="AN464" t="s">
        <v>102</v>
      </c>
      <c r="AO464" t="s">
        <v>102</v>
      </c>
      <c r="AP464" t="s">
        <v>117</v>
      </c>
      <c r="AQ464" t="s">
        <v>104</v>
      </c>
      <c r="AV464" t="s">
        <v>102</v>
      </c>
      <c r="AX464" t="s">
        <v>2181</v>
      </c>
      <c r="AZ464" t="s">
        <v>163</v>
      </c>
      <c r="BF464" t="s">
        <v>2186</v>
      </c>
      <c r="BG464" t="s">
        <v>102</v>
      </c>
      <c r="BH464" t="s">
        <v>102</v>
      </c>
      <c r="BI464" t="s">
        <v>102</v>
      </c>
      <c r="BK464" t="s">
        <v>107</v>
      </c>
      <c r="BL464" t="s">
        <v>180</v>
      </c>
      <c r="BM464">
        <v>5</v>
      </c>
      <c r="BN464">
        <v>5</v>
      </c>
      <c r="CA464" t="s">
        <v>2185</v>
      </c>
      <c r="CB464" t="s">
        <v>2181</v>
      </c>
      <c r="CL464" t="s">
        <v>102</v>
      </c>
      <c r="CM464" t="s">
        <v>102</v>
      </c>
      <c r="CN464" t="s">
        <v>361</v>
      </c>
      <c r="CO464" s="1">
        <v>41760</v>
      </c>
      <c r="CP464" s="1">
        <v>43595</v>
      </c>
    </row>
    <row r="465" spans="1:94" x14ac:dyDescent="0.25">
      <c r="A465" t="s">
        <v>2187</v>
      </c>
      <c r="B465" t="str">
        <f xml:space="preserve"> "" &amp; 840254039124</f>
        <v>840254039124</v>
      </c>
      <c r="C465" t="s">
        <v>178</v>
      </c>
      <c r="D465" t="s">
        <v>178</v>
      </c>
      <c r="F465" t="s">
        <v>179</v>
      </c>
      <c r="G465">
        <v>1</v>
      </c>
      <c r="H465">
        <v>1</v>
      </c>
      <c r="I465" t="s">
        <v>99</v>
      </c>
      <c r="J465" s="4">
        <v>525</v>
      </c>
      <c r="K465" s="4">
        <v>1575</v>
      </c>
      <c r="O465" t="s">
        <v>100</v>
      </c>
      <c r="P465" s="4">
        <v>1099.95</v>
      </c>
      <c r="S465">
        <v>20.25</v>
      </c>
      <c r="U465">
        <v>8</v>
      </c>
      <c r="V465">
        <v>6</v>
      </c>
      <c r="W465">
        <v>5</v>
      </c>
      <c r="X465">
        <v>1</v>
      </c>
      <c r="Y465">
        <v>12.6</v>
      </c>
      <c r="Z465">
        <v>24.4</v>
      </c>
      <c r="AA465">
        <v>12.6</v>
      </c>
      <c r="AB465">
        <v>2.242</v>
      </c>
      <c r="AC465">
        <v>7.6</v>
      </c>
      <c r="AE465">
        <v>2</v>
      </c>
      <c r="AF465" t="s">
        <v>101</v>
      </c>
      <c r="AG465">
        <v>60</v>
      </c>
      <c r="AK465" t="s">
        <v>102</v>
      </c>
      <c r="AL465">
        <v>2</v>
      </c>
      <c r="AM465" t="s">
        <v>102</v>
      </c>
      <c r="AN465" t="s">
        <v>102</v>
      </c>
      <c r="AO465" t="s">
        <v>102</v>
      </c>
      <c r="AP465" t="s">
        <v>117</v>
      </c>
      <c r="AQ465" t="s">
        <v>104</v>
      </c>
      <c r="AV465" t="s">
        <v>102</v>
      </c>
      <c r="AX465" t="s">
        <v>2181</v>
      </c>
      <c r="AZ465" t="s">
        <v>163</v>
      </c>
      <c r="BF465" t="s">
        <v>2188</v>
      </c>
      <c r="BG465" t="s">
        <v>102</v>
      </c>
      <c r="BH465" t="s">
        <v>102</v>
      </c>
      <c r="BI465" t="s">
        <v>102</v>
      </c>
      <c r="BK465" t="s">
        <v>107</v>
      </c>
      <c r="BL465" t="s">
        <v>180</v>
      </c>
      <c r="BM465">
        <v>4.88</v>
      </c>
      <c r="CA465" t="s">
        <v>2187</v>
      </c>
      <c r="CB465" t="s">
        <v>2181</v>
      </c>
      <c r="CL465" t="s">
        <v>102</v>
      </c>
      <c r="CM465" t="s">
        <v>102</v>
      </c>
      <c r="CN465" t="s">
        <v>361</v>
      </c>
      <c r="CO465" s="1">
        <v>41760</v>
      </c>
      <c r="CP465" s="1">
        <v>43634</v>
      </c>
    </row>
    <row r="466" spans="1:94" x14ac:dyDescent="0.25">
      <c r="A466" t="s">
        <v>2189</v>
      </c>
      <c r="B466" t="str">
        <f xml:space="preserve"> "" &amp; 840254039131</f>
        <v>840254039131</v>
      </c>
      <c r="C466" t="s">
        <v>230</v>
      </c>
      <c r="D466" t="s">
        <v>230</v>
      </c>
      <c r="F466" t="s">
        <v>179</v>
      </c>
      <c r="G466">
        <v>1</v>
      </c>
      <c r="H466">
        <v>1</v>
      </c>
      <c r="I466" t="s">
        <v>99</v>
      </c>
      <c r="J466" s="4">
        <v>600</v>
      </c>
      <c r="K466" s="4">
        <v>1800</v>
      </c>
      <c r="O466" t="s">
        <v>100</v>
      </c>
      <c r="P466" s="4">
        <v>1259.95</v>
      </c>
      <c r="S466">
        <v>20.75</v>
      </c>
      <c r="U466">
        <v>10.75</v>
      </c>
      <c r="V466">
        <v>7</v>
      </c>
      <c r="W466">
        <v>8.82</v>
      </c>
      <c r="X466">
        <v>1</v>
      </c>
      <c r="Y466">
        <v>10</v>
      </c>
      <c r="Z466">
        <v>23</v>
      </c>
      <c r="AA466">
        <v>13</v>
      </c>
      <c r="AB466">
        <v>1.73</v>
      </c>
      <c r="AC466">
        <v>13.23</v>
      </c>
      <c r="AE466">
        <v>3</v>
      </c>
      <c r="AF466" t="s">
        <v>101</v>
      </c>
      <c r="AG466">
        <v>60</v>
      </c>
      <c r="AK466" t="s">
        <v>102</v>
      </c>
      <c r="AM466" t="s">
        <v>102</v>
      </c>
      <c r="AN466" t="s">
        <v>102</v>
      </c>
      <c r="AO466" t="s">
        <v>102</v>
      </c>
      <c r="AP466" t="s">
        <v>117</v>
      </c>
      <c r="AQ466" t="s">
        <v>104</v>
      </c>
      <c r="AV466" t="s">
        <v>102</v>
      </c>
      <c r="AX466" t="s">
        <v>2181</v>
      </c>
      <c r="AZ466" t="s">
        <v>163</v>
      </c>
      <c r="BF466" t="s">
        <v>2190</v>
      </c>
      <c r="BG466" t="s">
        <v>102</v>
      </c>
      <c r="BH466" t="s">
        <v>102</v>
      </c>
      <c r="BI466" t="s">
        <v>102</v>
      </c>
      <c r="BK466" t="s">
        <v>107</v>
      </c>
      <c r="BL466" t="s">
        <v>180</v>
      </c>
      <c r="CA466" t="s">
        <v>2189</v>
      </c>
      <c r="CB466" t="s">
        <v>2181</v>
      </c>
      <c r="CL466" t="s">
        <v>102</v>
      </c>
      <c r="CM466" t="s">
        <v>102</v>
      </c>
      <c r="CN466" t="s">
        <v>361</v>
      </c>
      <c r="CO466" s="1">
        <v>41760</v>
      </c>
      <c r="CP466" s="1">
        <v>43634</v>
      </c>
    </row>
    <row r="467" spans="1:94" x14ac:dyDescent="0.25">
      <c r="A467" t="s">
        <v>2191</v>
      </c>
      <c r="B467" t="str">
        <f xml:space="preserve"> "" &amp; 840254039100</f>
        <v>840254039100</v>
      </c>
      <c r="C467" t="s">
        <v>230</v>
      </c>
      <c r="D467" t="s">
        <v>230</v>
      </c>
      <c r="F467" t="s">
        <v>179</v>
      </c>
      <c r="G467">
        <v>1</v>
      </c>
      <c r="H467">
        <v>1</v>
      </c>
      <c r="I467" t="s">
        <v>99</v>
      </c>
      <c r="J467" s="4">
        <v>850</v>
      </c>
      <c r="K467" s="4">
        <v>2550</v>
      </c>
      <c r="O467" t="s">
        <v>100</v>
      </c>
      <c r="P467" s="4">
        <v>1784.95</v>
      </c>
      <c r="S467">
        <v>26</v>
      </c>
      <c r="U467">
        <v>13</v>
      </c>
      <c r="V467">
        <v>6</v>
      </c>
      <c r="W467">
        <v>9.02</v>
      </c>
      <c r="X467">
        <v>1</v>
      </c>
      <c r="Y467">
        <v>32.28</v>
      </c>
      <c r="Z467">
        <v>16.54</v>
      </c>
      <c r="AA467">
        <v>16.54</v>
      </c>
      <c r="AB467">
        <v>5.1100000000000003</v>
      </c>
      <c r="AC467">
        <v>22</v>
      </c>
      <c r="AE467">
        <v>3</v>
      </c>
      <c r="AF467" t="s">
        <v>2192</v>
      </c>
      <c r="AG467">
        <v>60</v>
      </c>
      <c r="AK467" t="s">
        <v>102</v>
      </c>
      <c r="AM467" t="s">
        <v>102</v>
      </c>
      <c r="AN467" t="s">
        <v>102</v>
      </c>
      <c r="AO467" t="s">
        <v>102</v>
      </c>
      <c r="AP467" t="s">
        <v>117</v>
      </c>
      <c r="AQ467" t="s">
        <v>104</v>
      </c>
      <c r="AV467" t="s">
        <v>102</v>
      </c>
      <c r="AX467" t="s">
        <v>2193</v>
      </c>
      <c r="AZ467" t="s">
        <v>163</v>
      </c>
      <c r="BF467" t="s">
        <v>2194</v>
      </c>
      <c r="BG467" t="s">
        <v>102</v>
      </c>
      <c r="BH467" t="s">
        <v>102</v>
      </c>
      <c r="BI467" t="s">
        <v>102</v>
      </c>
      <c r="BK467" t="s">
        <v>107</v>
      </c>
      <c r="BL467" t="s">
        <v>180</v>
      </c>
      <c r="BQ467">
        <v>4.88</v>
      </c>
      <c r="BS467">
        <v>4.88</v>
      </c>
      <c r="BT467">
        <v>4.88</v>
      </c>
      <c r="CA467" t="s">
        <v>2191</v>
      </c>
      <c r="CB467" t="s">
        <v>2193</v>
      </c>
      <c r="CL467" t="s">
        <v>102</v>
      </c>
      <c r="CM467" t="s">
        <v>102</v>
      </c>
      <c r="CN467" t="s">
        <v>361</v>
      </c>
      <c r="CO467" s="1">
        <v>41761</v>
      </c>
      <c r="CP467" s="1">
        <v>43634</v>
      </c>
    </row>
    <row r="468" spans="1:94" x14ac:dyDescent="0.25">
      <c r="A468" t="s">
        <v>2195</v>
      </c>
      <c r="B468" t="str">
        <f xml:space="preserve"> "" &amp; 840254039148</f>
        <v>840254039148</v>
      </c>
      <c r="C468" t="s">
        <v>178</v>
      </c>
      <c r="D468" t="s">
        <v>178</v>
      </c>
      <c r="F468" t="s">
        <v>179</v>
      </c>
      <c r="G468">
        <v>1</v>
      </c>
      <c r="H468">
        <v>1</v>
      </c>
      <c r="I468" t="s">
        <v>99</v>
      </c>
      <c r="J468" s="4">
        <v>500</v>
      </c>
      <c r="K468" s="4">
        <v>1500</v>
      </c>
      <c r="O468" t="s">
        <v>100</v>
      </c>
      <c r="P468" s="4">
        <v>1049.95</v>
      </c>
      <c r="S468">
        <v>13.25</v>
      </c>
      <c r="U468">
        <v>8.75</v>
      </c>
      <c r="V468">
        <v>5.5</v>
      </c>
      <c r="W468">
        <v>5</v>
      </c>
      <c r="X468">
        <v>1</v>
      </c>
      <c r="Y468">
        <v>10.24</v>
      </c>
      <c r="Z468">
        <v>23.62</v>
      </c>
      <c r="AA468">
        <v>13.78</v>
      </c>
      <c r="AB468">
        <v>1.929</v>
      </c>
      <c r="AC468">
        <v>17.600000000000001</v>
      </c>
      <c r="AE468">
        <v>2</v>
      </c>
      <c r="AF468" t="s">
        <v>101</v>
      </c>
      <c r="AG468">
        <v>60</v>
      </c>
      <c r="AK468" t="s">
        <v>102</v>
      </c>
      <c r="AM468" t="s">
        <v>102</v>
      </c>
      <c r="AN468" t="s">
        <v>102</v>
      </c>
      <c r="AO468" t="s">
        <v>102</v>
      </c>
      <c r="AP468" t="s">
        <v>117</v>
      </c>
      <c r="AQ468" t="s">
        <v>104</v>
      </c>
      <c r="AV468" t="s">
        <v>102</v>
      </c>
      <c r="AX468" t="s">
        <v>2181</v>
      </c>
      <c r="AZ468" t="s">
        <v>163</v>
      </c>
      <c r="BF468" t="s">
        <v>2196</v>
      </c>
      <c r="BG468" t="s">
        <v>102</v>
      </c>
      <c r="BH468" t="s">
        <v>102</v>
      </c>
      <c r="BI468" t="s">
        <v>102</v>
      </c>
      <c r="BK468" t="s">
        <v>107</v>
      </c>
      <c r="BT468">
        <v>4.88</v>
      </c>
      <c r="CA468" t="s">
        <v>2195</v>
      </c>
      <c r="CB468" t="s">
        <v>2181</v>
      </c>
      <c r="CL468" t="s">
        <v>102</v>
      </c>
      <c r="CM468" t="s">
        <v>102</v>
      </c>
      <c r="CN468" t="s">
        <v>361</v>
      </c>
      <c r="CO468" s="1">
        <v>41761</v>
      </c>
      <c r="CP468" s="1">
        <v>43634</v>
      </c>
    </row>
    <row r="469" spans="1:94" x14ac:dyDescent="0.25">
      <c r="A469" t="s">
        <v>2197</v>
      </c>
      <c r="B469" t="str">
        <f xml:space="preserve"> "" &amp; 840254039155</f>
        <v>840254039155</v>
      </c>
      <c r="C469" t="s">
        <v>230</v>
      </c>
      <c r="D469" t="s">
        <v>230</v>
      </c>
      <c r="F469" t="s">
        <v>179</v>
      </c>
      <c r="G469">
        <v>1</v>
      </c>
      <c r="H469">
        <v>1</v>
      </c>
      <c r="I469" t="s">
        <v>99</v>
      </c>
      <c r="J469" s="4">
        <v>750</v>
      </c>
      <c r="K469" s="4">
        <v>2250</v>
      </c>
      <c r="O469" t="s">
        <v>100</v>
      </c>
      <c r="P469" s="4">
        <v>1574.95</v>
      </c>
      <c r="S469">
        <v>24.25</v>
      </c>
      <c r="U469">
        <v>13</v>
      </c>
      <c r="V469">
        <v>7.5</v>
      </c>
      <c r="W469">
        <v>14</v>
      </c>
      <c r="X469">
        <v>1</v>
      </c>
      <c r="Y469">
        <v>20.5</v>
      </c>
      <c r="Z469">
        <v>28.3</v>
      </c>
      <c r="AA469">
        <v>20.5</v>
      </c>
      <c r="AB469">
        <v>6.883</v>
      </c>
      <c r="AC469">
        <v>17.600000000000001</v>
      </c>
      <c r="AE469">
        <v>3</v>
      </c>
      <c r="AF469" t="s">
        <v>101</v>
      </c>
      <c r="AG469">
        <v>60</v>
      </c>
      <c r="AK469" t="s">
        <v>102</v>
      </c>
      <c r="AM469" t="s">
        <v>102</v>
      </c>
      <c r="AN469" t="s">
        <v>102</v>
      </c>
      <c r="AO469" t="s">
        <v>102</v>
      </c>
      <c r="AP469" t="s">
        <v>117</v>
      </c>
      <c r="AQ469" t="s">
        <v>104</v>
      </c>
      <c r="AV469" t="s">
        <v>102</v>
      </c>
      <c r="AX469" t="s">
        <v>2193</v>
      </c>
      <c r="AZ469" t="s">
        <v>163</v>
      </c>
      <c r="BF469" t="s">
        <v>2198</v>
      </c>
      <c r="BG469" t="s">
        <v>102</v>
      </c>
      <c r="BH469" t="s">
        <v>102</v>
      </c>
      <c r="BI469" t="s">
        <v>102</v>
      </c>
      <c r="BK469" t="s">
        <v>107</v>
      </c>
      <c r="CA469" t="s">
        <v>2199</v>
      </c>
      <c r="CB469" t="s">
        <v>2193</v>
      </c>
      <c r="CL469" t="s">
        <v>102</v>
      </c>
      <c r="CM469" t="s">
        <v>102</v>
      </c>
      <c r="CN469" t="s">
        <v>361</v>
      </c>
      <c r="CO469" s="1">
        <v>41761</v>
      </c>
      <c r="CP469" s="1">
        <v>43634</v>
      </c>
    </row>
    <row r="470" spans="1:94" x14ac:dyDescent="0.25">
      <c r="A470" t="s">
        <v>2200</v>
      </c>
      <c r="B470" t="str">
        <f xml:space="preserve"> "" &amp; 840254039162</f>
        <v>840254039162</v>
      </c>
      <c r="C470" t="s">
        <v>230</v>
      </c>
      <c r="D470" t="s">
        <v>230</v>
      </c>
      <c r="F470" t="s">
        <v>179</v>
      </c>
      <c r="G470">
        <v>1</v>
      </c>
      <c r="H470">
        <v>1</v>
      </c>
      <c r="I470" t="s">
        <v>99</v>
      </c>
      <c r="J470" s="4">
        <v>750</v>
      </c>
      <c r="K470" s="4">
        <v>2250</v>
      </c>
      <c r="O470" t="s">
        <v>100</v>
      </c>
      <c r="P470" s="4">
        <v>1574.95</v>
      </c>
      <c r="S470">
        <v>24.25</v>
      </c>
      <c r="U470">
        <v>13</v>
      </c>
      <c r="V470">
        <v>7.5</v>
      </c>
      <c r="W470">
        <v>13</v>
      </c>
      <c r="X470">
        <v>1</v>
      </c>
      <c r="Y470">
        <v>20.5</v>
      </c>
      <c r="Z470">
        <v>28.3</v>
      </c>
      <c r="AA470">
        <v>20.5</v>
      </c>
      <c r="AB470">
        <v>6.883</v>
      </c>
      <c r="AC470">
        <v>17.600000000000001</v>
      </c>
      <c r="AE470">
        <v>3</v>
      </c>
      <c r="AF470" t="s">
        <v>101</v>
      </c>
      <c r="AG470">
        <v>60</v>
      </c>
      <c r="AK470" t="s">
        <v>102</v>
      </c>
      <c r="AM470" t="s">
        <v>102</v>
      </c>
      <c r="AN470" t="s">
        <v>102</v>
      </c>
      <c r="AO470" t="s">
        <v>102</v>
      </c>
      <c r="AP470" t="s">
        <v>117</v>
      </c>
      <c r="AQ470" t="s">
        <v>104</v>
      </c>
      <c r="AV470" t="s">
        <v>102</v>
      </c>
      <c r="AX470" t="s">
        <v>2193</v>
      </c>
      <c r="AZ470" t="s">
        <v>163</v>
      </c>
      <c r="BF470" t="s">
        <v>2201</v>
      </c>
      <c r="BG470" t="s">
        <v>102</v>
      </c>
      <c r="BH470" t="s">
        <v>102</v>
      </c>
      <c r="BI470" t="s">
        <v>102</v>
      </c>
      <c r="BK470" t="s">
        <v>107</v>
      </c>
      <c r="CA470" t="s">
        <v>2199</v>
      </c>
      <c r="CB470" t="s">
        <v>2193</v>
      </c>
      <c r="CL470" t="s">
        <v>102</v>
      </c>
      <c r="CM470" t="s">
        <v>102</v>
      </c>
      <c r="CN470" t="s">
        <v>361</v>
      </c>
      <c r="CO470" s="1">
        <v>41761</v>
      </c>
      <c r="CP470" s="1">
        <v>43634</v>
      </c>
    </row>
    <row r="471" spans="1:94" x14ac:dyDescent="0.25">
      <c r="A471" t="s">
        <v>2202</v>
      </c>
      <c r="B471" t="str">
        <f xml:space="preserve"> "" &amp; 840254049918</f>
        <v>840254049918</v>
      </c>
      <c r="C471" t="s">
        <v>290</v>
      </c>
      <c r="D471" t="s">
        <v>290</v>
      </c>
      <c r="F471" t="s">
        <v>179</v>
      </c>
      <c r="G471">
        <v>1</v>
      </c>
      <c r="H471">
        <v>1</v>
      </c>
      <c r="I471" t="s">
        <v>99</v>
      </c>
      <c r="J471" s="4">
        <v>150</v>
      </c>
      <c r="K471" s="4">
        <v>450</v>
      </c>
      <c r="S471">
        <v>15</v>
      </c>
      <c r="U471">
        <v>3.15</v>
      </c>
      <c r="V471">
        <v>5.91</v>
      </c>
      <c r="W471">
        <v>2.2000000000000002</v>
      </c>
      <c r="X471">
        <v>1</v>
      </c>
      <c r="AB471">
        <v>0.52080000000000004</v>
      </c>
      <c r="AC471">
        <v>4.41</v>
      </c>
      <c r="AE471">
        <v>1</v>
      </c>
      <c r="AF471" t="s">
        <v>187</v>
      </c>
      <c r="AG471">
        <v>60</v>
      </c>
      <c r="AK471" t="s">
        <v>102</v>
      </c>
      <c r="AL471">
        <v>1</v>
      </c>
      <c r="AM471" t="s">
        <v>102</v>
      </c>
      <c r="AN471" t="s">
        <v>102</v>
      </c>
      <c r="AO471" t="s">
        <v>102</v>
      </c>
      <c r="AP471" t="s">
        <v>117</v>
      </c>
      <c r="AQ471" t="s">
        <v>104</v>
      </c>
      <c r="AV471" t="s">
        <v>102</v>
      </c>
      <c r="AX471" t="s">
        <v>372</v>
      </c>
      <c r="BF471" t="s">
        <v>2203</v>
      </c>
      <c r="BG471" t="s">
        <v>102</v>
      </c>
      <c r="BH471" t="s">
        <v>102</v>
      </c>
      <c r="BI471" t="s">
        <v>102</v>
      </c>
      <c r="BK471" t="s">
        <v>191</v>
      </c>
      <c r="BL471" t="s">
        <v>180</v>
      </c>
      <c r="BN471">
        <v>0.39</v>
      </c>
      <c r="BO471">
        <v>3.94</v>
      </c>
      <c r="BP471">
        <v>5.32</v>
      </c>
      <c r="CB471" t="s">
        <v>372</v>
      </c>
      <c r="CL471" t="s">
        <v>102</v>
      </c>
      <c r="CM471" t="s">
        <v>102</v>
      </c>
      <c r="CN471" t="s">
        <v>181</v>
      </c>
      <c r="CO471" s="1">
        <v>43671</v>
      </c>
      <c r="CP471" s="1">
        <v>43671</v>
      </c>
    </row>
    <row r="472" spans="1:94" x14ac:dyDescent="0.25">
      <c r="A472" t="s">
        <v>2204</v>
      </c>
      <c r="B472" t="str">
        <f xml:space="preserve"> "" &amp; 840254049925</f>
        <v>840254049925</v>
      </c>
      <c r="C472" t="s">
        <v>178</v>
      </c>
      <c r="D472" t="s">
        <v>178</v>
      </c>
      <c r="F472" t="s">
        <v>179</v>
      </c>
      <c r="G472">
        <v>1</v>
      </c>
      <c r="H472">
        <v>1</v>
      </c>
      <c r="I472" t="s">
        <v>99</v>
      </c>
      <c r="J472" s="4">
        <v>195</v>
      </c>
      <c r="K472" s="4">
        <v>585</v>
      </c>
      <c r="S472">
        <v>15</v>
      </c>
      <c r="U472">
        <v>9.06</v>
      </c>
      <c r="V472">
        <v>5.91</v>
      </c>
      <c r="W472">
        <v>3.31</v>
      </c>
      <c r="X472">
        <v>1</v>
      </c>
      <c r="AB472">
        <v>0.70199999999999996</v>
      </c>
      <c r="AC472">
        <v>6.61</v>
      </c>
      <c r="AE472">
        <v>2</v>
      </c>
      <c r="AF472" t="s">
        <v>187</v>
      </c>
      <c r="AG472">
        <v>60</v>
      </c>
      <c r="AK472" t="s">
        <v>102</v>
      </c>
      <c r="AL472">
        <v>2</v>
      </c>
      <c r="AM472" t="s">
        <v>102</v>
      </c>
      <c r="AN472" t="s">
        <v>102</v>
      </c>
      <c r="AO472" t="s">
        <v>100</v>
      </c>
      <c r="AP472" t="s">
        <v>117</v>
      </c>
      <c r="AQ472" t="s">
        <v>104</v>
      </c>
      <c r="AV472" t="s">
        <v>102</v>
      </c>
      <c r="AX472" t="s">
        <v>372</v>
      </c>
      <c r="BF472" t="s">
        <v>2205</v>
      </c>
      <c r="BG472" t="s">
        <v>102</v>
      </c>
      <c r="BH472" t="s">
        <v>102</v>
      </c>
      <c r="BI472" t="s">
        <v>102</v>
      </c>
      <c r="BK472" t="s">
        <v>191</v>
      </c>
      <c r="BL472" t="s">
        <v>180</v>
      </c>
      <c r="BN472">
        <v>0.39</v>
      </c>
      <c r="BO472">
        <v>3.94</v>
      </c>
      <c r="BP472">
        <v>5.32</v>
      </c>
      <c r="CB472" t="s">
        <v>372</v>
      </c>
      <c r="CL472" t="s">
        <v>102</v>
      </c>
      <c r="CM472" t="s">
        <v>102</v>
      </c>
      <c r="CN472" t="s">
        <v>181</v>
      </c>
      <c r="CO472" s="1">
        <v>43671</v>
      </c>
      <c r="CP472" s="1">
        <v>43671</v>
      </c>
    </row>
    <row r="473" spans="1:94" x14ac:dyDescent="0.25">
      <c r="A473" t="s">
        <v>2206</v>
      </c>
      <c r="B473" t="str">
        <f xml:space="preserve"> "" &amp; 840254039070</f>
        <v>840254039070</v>
      </c>
      <c r="C473" t="s">
        <v>95</v>
      </c>
      <c r="D473" t="s">
        <v>95</v>
      </c>
      <c r="F473" t="s">
        <v>98</v>
      </c>
      <c r="G473">
        <v>1</v>
      </c>
      <c r="H473">
        <v>1</v>
      </c>
      <c r="I473" t="s">
        <v>99</v>
      </c>
      <c r="J473" s="4">
        <v>4495</v>
      </c>
      <c r="K473" s="4">
        <v>13485</v>
      </c>
      <c r="O473" t="s">
        <v>100</v>
      </c>
      <c r="P473" s="4">
        <v>9439.9500000000007</v>
      </c>
      <c r="S473">
        <v>40.75</v>
      </c>
      <c r="T473">
        <v>32.75</v>
      </c>
      <c r="U473">
        <v>32.75</v>
      </c>
      <c r="W473">
        <v>70</v>
      </c>
      <c r="X473">
        <v>1</v>
      </c>
      <c r="Y473">
        <v>34</v>
      </c>
      <c r="Z473">
        <v>44</v>
      </c>
      <c r="AA473">
        <v>34</v>
      </c>
      <c r="AB473">
        <v>29.434999999999999</v>
      </c>
      <c r="AC473">
        <v>88</v>
      </c>
      <c r="AE473">
        <v>12</v>
      </c>
      <c r="AF473" t="s">
        <v>101</v>
      </c>
      <c r="AG473">
        <v>60</v>
      </c>
      <c r="AK473" t="s">
        <v>102</v>
      </c>
      <c r="AL473">
        <v>12</v>
      </c>
      <c r="AM473" t="s">
        <v>102</v>
      </c>
      <c r="AN473" t="s">
        <v>102</v>
      </c>
      <c r="AO473" t="s">
        <v>102</v>
      </c>
      <c r="AP473" t="s">
        <v>103</v>
      </c>
      <c r="AQ473" t="s">
        <v>104</v>
      </c>
      <c r="AV473" t="s">
        <v>102</v>
      </c>
      <c r="AX473" t="s">
        <v>372</v>
      </c>
      <c r="AZ473" t="s">
        <v>163</v>
      </c>
      <c r="BD473" t="s">
        <v>2052</v>
      </c>
      <c r="BF473" t="s">
        <v>2207</v>
      </c>
      <c r="BG473" t="s">
        <v>102</v>
      </c>
      <c r="BH473" t="s">
        <v>102</v>
      </c>
      <c r="BI473" t="s">
        <v>102</v>
      </c>
      <c r="BK473" t="s">
        <v>107</v>
      </c>
      <c r="BQ473">
        <v>5.25</v>
      </c>
      <c r="BR473">
        <v>1.25</v>
      </c>
      <c r="BS473">
        <v>5.25</v>
      </c>
      <c r="BT473">
        <v>5.25</v>
      </c>
      <c r="CA473" t="s">
        <v>2206</v>
      </c>
      <c r="CB473" t="s">
        <v>372</v>
      </c>
      <c r="CL473" t="s">
        <v>102</v>
      </c>
      <c r="CM473" t="s">
        <v>102</v>
      </c>
      <c r="CN473" t="s">
        <v>424</v>
      </c>
      <c r="CO473" s="1">
        <v>41761</v>
      </c>
      <c r="CP473" s="1">
        <v>43634</v>
      </c>
    </row>
    <row r="474" spans="1:94" x14ac:dyDescent="0.25">
      <c r="A474" t="s">
        <v>2208</v>
      </c>
      <c r="B474" t="str">
        <f xml:space="preserve"> "" &amp; 840254039087</f>
        <v>840254039087</v>
      </c>
      <c r="C474" t="s">
        <v>95</v>
      </c>
      <c r="D474" t="s">
        <v>95</v>
      </c>
      <c r="F474" t="s">
        <v>98</v>
      </c>
      <c r="G474">
        <v>1</v>
      </c>
      <c r="H474">
        <v>1</v>
      </c>
      <c r="I474" t="s">
        <v>99</v>
      </c>
      <c r="J474" s="4">
        <v>5995</v>
      </c>
      <c r="K474" s="4">
        <v>17985</v>
      </c>
      <c r="O474" t="s">
        <v>100</v>
      </c>
      <c r="P474" s="4">
        <v>12589.95</v>
      </c>
      <c r="S474">
        <v>43</v>
      </c>
      <c r="U474">
        <v>30</v>
      </c>
      <c r="W474">
        <v>95.99</v>
      </c>
      <c r="X474">
        <v>1</v>
      </c>
      <c r="Y474">
        <v>36</v>
      </c>
      <c r="Z474">
        <v>48</v>
      </c>
      <c r="AA474">
        <v>36</v>
      </c>
      <c r="AB474">
        <v>36</v>
      </c>
      <c r="AC474">
        <v>110</v>
      </c>
      <c r="AE474">
        <v>12</v>
      </c>
      <c r="AF474" t="s">
        <v>176</v>
      </c>
      <c r="AG474">
        <v>60</v>
      </c>
      <c r="AK474" t="s">
        <v>102</v>
      </c>
      <c r="AM474" t="s">
        <v>102</v>
      </c>
      <c r="AN474" t="s">
        <v>102</v>
      </c>
      <c r="AO474" t="s">
        <v>102</v>
      </c>
      <c r="AP474" t="s">
        <v>103</v>
      </c>
      <c r="AQ474" t="s">
        <v>104</v>
      </c>
      <c r="AV474" t="s">
        <v>102</v>
      </c>
      <c r="AX474" t="s">
        <v>372</v>
      </c>
      <c r="AZ474" t="s">
        <v>163</v>
      </c>
      <c r="BD474" t="s">
        <v>2209</v>
      </c>
      <c r="BF474" t="s">
        <v>2210</v>
      </c>
      <c r="BG474" t="s">
        <v>102</v>
      </c>
      <c r="BH474" t="s">
        <v>102</v>
      </c>
      <c r="BI474" t="s">
        <v>102</v>
      </c>
      <c r="BK474" t="s">
        <v>107</v>
      </c>
      <c r="BQ474">
        <v>5.5</v>
      </c>
      <c r="BR474">
        <v>1.5</v>
      </c>
      <c r="BS474">
        <v>5.5</v>
      </c>
      <c r="BT474">
        <v>5.5</v>
      </c>
      <c r="CA474" t="s">
        <v>2208</v>
      </c>
      <c r="CB474" t="s">
        <v>372</v>
      </c>
      <c r="CL474" t="s">
        <v>100</v>
      </c>
      <c r="CM474" t="s">
        <v>102</v>
      </c>
      <c r="CN474" t="s">
        <v>438</v>
      </c>
      <c r="CO474" s="1">
        <v>41761</v>
      </c>
      <c r="CP474" s="1">
        <v>43634</v>
      </c>
    </row>
    <row r="475" spans="1:94" x14ac:dyDescent="0.25">
      <c r="A475" t="s">
        <v>2211</v>
      </c>
      <c r="B475" t="str">
        <f xml:space="preserve"> "" &amp; 840254049895</f>
        <v>840254049895</v>
      </c>
      <c r="C475" t="s">
        <v>230</v>
      </c>
      <c r="D475" t="s">
        <v>230</v>
      </c>
      <c r="F475" t="s">
        <v>179</v>
      </c>
      <c r="G475">
        <v>1</v>
      </c>
      <c r="H475">
        <v>1</v>
      </c>
      <c r="I475" t="s">
        <v>99</v>
      </c>
      <c r="J475" s="4">
        <v>395</v>
      </c>
      <c r="K475" s="4">
        <v>1185</v>
      </c>
      <c r="S475">
        <v>20.25</v>
      </c>
      <c r="U475">
        <v>14.5</v>
      </c>
      <c r="V475">
        <v>7.5</v>
      </c>
      <c r="W475">
        <v>4.5</v>
      </c>
      <c r="X475">
        <v>1</v>
      </c>
      <c r="Y475">
        <v>10</v>
      </c>
      <c r="Z475">
        <v>22.75</v>
      </c>
      <c r="AA475">
        <v>17</v>
      </c>
      <c r="AB475">
        <v>2.238</v>
      </c>
      <c r="AC475">
        <v>5</v>
      </c>
      <c r="AE475">
        <v>3</v>
      </c>
      <c r="AG475">
        <v>60</v>
      </c>
      <c r="AK475" t="s">
        <v>102</v>
      </c>
      <c r="AL475">
        <v>3</v>
      </c>
      <c r="AM475" t="s">
        <v>102</v>
      </c>
      <c r="AN475" t="s">
        <v>102</v>
      </c>
      <c r="AO475" t="s">
        <v>102</v>
      </c>
      <c r="AP475" t="s">
        <v>117</v>
      </c>
      <c r="AQ475" t="s">
        <v>104</v>
      </c>
      <c r="AV475" t="s">
        <v>102</v>
      </c>
      <c r="AX475" t="s">
        <v>372</v>
      </c>
      <c r="AZ475" t="s">
        <v>200</v>
      </c>
      <c r="BF475" t="s">
        <v>2212</v>
      </c>
      <c r="BG475" t="s">
        <v>102</v>
      </c>
      <c r="BH475" t="s">
        <v>102</v>
      </c>
      <c r="BI475" t="s">
        <v>102</v>
      </c>
      <c r="BK475" t="s">
        <v>107</v>
      </c>
      <c r="CB475" t="s">
        <v>372</v>
      </c>
      <c r="CL475" t="s">
        <v>102</v>
      </c>
      <c r="CM475" t="s">
        <v>102</v>
      </c>
      <c r="CN475" t="s">
        <v>181</v>
      </c>
      <c r="CO475" s="1">
        <v>43623</v>
      </c>
      <c r="CP475" s="1">
        <v>43662</v>
      </c>
    </row>
    <row r="476" spans="1:94" x14ac:dyDescent="0.25">
      <c r="A476" t="s">
        <v>2213</v>
      </c>
      <c r="B476" t="str">
        <f xml:space="preserve"> "" &amp; 840254049901</f>
        <v>840254049901</v>
      </c>
      <c r="C476" t="s">
        <v>178</v>
      </c>
      <c r="D476" t="s">
        <v>178</v>
      </c>
      <c r="F476" t="s">
        <v>179</v>
      </c>
      <c r="G476">
        <v>1</v>
      </c>
      <c r="H476">
        <v>1</v>
      </c>
      <c r="I476" t="s">
        <v>99</v>
      </c>
      <c r="J476" s="4">
        <v>295</v>
      </c>
      <c r="K476" s="4">
        <v>885</v>
      </c>
      <c r="S476">
        <v>16.5</v>
      </c>
      <c r="U476">
        <v>9.75</v>
      </c>
      <c r="V476">
        <v>5.25</v>
      </c>
      <c r="W476">
        <v>2.2000000000000002</v>
      </c>
      <c r="X476">
        <v>1</v>
      </c>
      <c r="Y476">
        <v>8</v>
      </c>
      <c r="Z476">
        <v>18</v>
      </c>
      <c r="AA476">
        <v>10</v>
      </c>
      <c r="AB476">
        <v>0.83299999999999996</v>
      </c>
      <c r="AC476">
        <v>3</v>
      </c>
      <c r="AE476">
        <v>2</v>
      </c>
      <c r="AG476">
        <v>60</v>
      </c>
      <c r="AK476" t="s">
        <v>102</v>
      </c>
      <c r="AL476">
        <v>2</v>
      </c>
      <c r="AM476" t="s">
        <v>102</v>
      </c>
      <c r="AN476" t="s">
        <v>102</v>
      </c>
      <c r="AO476" t="s">
        <v>102</v>
      </c>
      <c r="AP476" t="s">
        <v>117</v>
      </c>
      <c r="AQ476" t="s">
        <v>104</v>
      </c>
      <c r="AV476" t="s">
        <v>102</v>
      </c>
      <c r="AX476" t="s">
        <v>372</v>
      </c>
      <c r="AZ476" t="s">
        <v>200</v>
      </c>
      <c r="BF476" t="s">
        <v>2214</v>
      </c>
      <c r="BG476" t="s">
        <v>102</v>
      </c>
      <c r="BH476" t="s">
        <v>102</v>
      </c>
      <c r="BI476" t="s">
        <v>102</v>
      </c>
      <c r="BK476" t="s">
        <v>107</v>
      </c>
      <c r="CB476" t="s">
        <v>372</v>
      </c>
      <c r="CL476" t="s">
        <v>102</v>
      </c>
      <c r="CM476" t="s">
        <v>102</v>
      </c>
      <c r="CN476" t="s">
        <v>181</v>
      </c>
      <c r="CO476" s="1">
        <v>43619</v>
      </c>
      <c r="CP476" s="1">
        <v>43662</v>
      </c>
    </row>
    <row r="477" spans="1:94" x14ac:dyDescent="0.25">
      <c r="A477" t="s">
        <v>2215</v>
      </c>
      <c r="B477" t="str">
        <f xml:space="preserve"> "" &amp; 840254031296</f>
        <v>840254031296</v>
      </c>
      <c r="C477" t="s">
        <v>230</v>
      </c>
      <c r="D477" t="s">
        <v>230</v>
      </c>
      <c r="F477" t="s">
        <v>179</v>
      </c>
      <c r="G477">
        <v>1</v>
      </c>
      <c r="H477">
        <v>1</v>
      </c>
      <c r="I477" t="s">
        <v>99</v>
      </c>
      <c r="J477" s="4">
        <v>900</v>
      </c>
      <c r="K477" s="4">
        <v>2700</v>
      </c>
      <c r="O477" t="s">
        <v>100</v>
      </c>
      <c r="P477" s="4">
        <v>1889.95</v>
      </c>
      <c r="S477">
        <v>23.5</v>
      </c>
      <c r="U477">
        <v>16</v>
      </c>
      <c r="V477">
        <v>9</v>
      </c>
      <c r="W477">
        <v>9.5</v>
      </c>
      <c r="X477">
        <v>1</v>
      </c>
      <c r="Y477">
        <v>12</v>
      </c>
      <c r="Z477">
        <v>27</v>
      </c>
      <c r="AA477">
        <v>20</v>
      </c>
      <c r="AB477">
        <v>3.75</v>
      </c>
      <c r="AC477">
        <v>15.4</v>
      </c>
      <c r="AE477">
        <v>3</v>
      </c>
      <c r="AF477" t="s">
        <v>383</v>
      </c>
      <c r="AK477" t="s">
        <v>102</v>
      </c>
      <c r="AL477">
        <v>3</v>
      </c>
      <c r="AM477" t="s">
        <v>102</v>
      </c>
      <c r="AN477" t="s">
        <v>102</v>
      </c>
      <c r="AO477" t="s">
        <v>102</v>
      </c>
      <c r="AP477" t="s">
        <v>117</v>
      </c>
      <c r="AQ477" t="s">
        <v>104</v>
      </c>
      <c r="AV477" t="s">
        <v>102</v>
      </c>
      <c r="AX477" t="s">
        <v>2216</v>
      </c>
      <c r="AZ477" t="s">
        <v>163</v>
      </c>
      <c r="BF477" t="s">
        <v>2217</v>
      </c>
      <c r="BG477" t="s">
        <v>102</v>
      </c>
      <c r="BH477" t="s">
        <v>102</v>
      </c>
      <c r="BI477" t="s">
        <v>102</v>
      </c>
      <c r="BL477" t="s">
        <v>180</v>
      </c>
      <c r="CA477" t="s">
        <v>2215</v>
      </c>
      <c r="CB477" t="s">
        <v>2216</v>
      </c>
      <c r="CL477" t="s">
        <v>102</v>
      </c>
      <c r="CM477" t="s">
        <v>102</v>
      </c>
      <c r="CO477" s="1">
        <v>39212</v>
      </c>
      <c r="CP477" s="1">
        <v>43634</v>
      </c>
    </row>
    <row r="478" spans="1:94" x14ac:dyDescent="0.25">
      <c r="A478" t="s">
        <v>2218</v>
      </c>
      <c r="B478" t="str">
        <f xml:space="preserve"> "" &amp; 840254031319</f>
        <v>840254031319</v>
      </c>
      <c r="C478" t="s">
        <v>178</v>
      </c>
      <c r="D478" t="s">
        <v>178</v>
      </c>
      <c r="F478" t="s">
        <v>179</v>
      </c>
      <c r="G478">
        <v>1</v>
      </c>
      <c r="H478">
        <v>1</v>
      </c>
      <c r="I478" t="s">
        <v>99</v>
      </c>
      <c r="J478" s="4">
        <v>475</v>
      </c>
      <c r="K478" s="4">
        <v>1425</v>
      </c>
      <c r="O478" t="s">
        <v>100</v>
      </c>
      <c r="P478" s="4">
        <v>999.95</v>
      </c>
      <c r="S478">
        <v>16.5</v>
      </c>
      <c r="U478">
        <v>7</v>
      </c>
      <c r="V478">
        <v>4.25</v>
      </c>
      <c r="W478">
        <v>4.01</v>
      </c>
      <c r="X478">
        <v>1</v>
      </c>
      <c r="Y478">
        <v>10</v>
      </c>
      <c r="Z478">
        <v>15</v>
      </c>
      <c r="AA478">
        <v>15</v>
      </c>
      <c r="AB478">
        <v>1.302</v>
      </c>
      <c r="AC478">
        <v>6.5</v>
      </c>
      <c r="AE478">
        <v>2</v>
      </c>
      <c r="AF478" t="s">
        <v>383</v>
      </c>
      <c r="AG478">
        <v>60</v>
      </c>
      <c r="AK478" t="s">
        <v>102</v>
      </c>
      <c r="AL478">
        <v>2</v>
      </c>
      <c r="AM478" t="s">
        <v>102</v>
      </c>
      <c r="AN478" t="s">
        <v>102</v>
      </c>
      <c r="AO478" t="s">
        <v>102</v>
      </c>
      <c r="AP478" t="s">
        <v>117</v>
      </c>
      <c r="AQ478" t="s">
        <v>104</v>
      </c>
      <c r="AV478" t="s">
        <v>102</v>
      </c>
      <c r="AX478" t="s">
        <v>2216</v>
      </c>
      <c r="AZ478" t="s">
        <v>163</v>
      </c>
      <c r="BF478" t="s">
        <v>2219</v>
      </c>
      <c r="BG478" t="s">
        <v>102</v>
      </c>
      <c r="BH478" t="s">
        <v>100</v>
      </c>
      <c r="BI478" t="s">
        <v>102</v>
      </c>
      <c r="BL478" t="s">
        <v>180</v>
      </c>
      <c r="CA478" t="s">
        <v>2218</v>
      </c>
      <c r="CB478" t="s">
        <v>2216</v>
      </c>
      <c r="CL478" t="s">
        <v>102</v>
      </c>
      <c r="CM478" t="s">
        <v>102</v>
      </c>
      <c r="CO478" s="1">
        <v>39212</v>
      </c>
      <c r="CP478" s="1">
        <v>43634</v>
      </c>
    </row>
    <row r="479" spans="1:94" x14ac:dyDescent="0.25">
      <c r="A479" t="s">
        <v>2220</v>
      </c>
      <c r="B479" t="str">
        <f xml:space="preserve"> "" &amp; 840254031548</f>
        <v>840254031548</v>
      </c>
      <c r="C479" t="s">
        <v>230</v>
      </c>
      <c r="D479" t="s">
        <v>230</v>
      </c>
      <c r="F479" t="s">
        <v>179</v>
      </c>
      <c r="G479">
        <v>1</v>
      </c>
      <c r="H479">
        <v>1</v>
      </c>
      <c r="I479" t="s">
        <v>99</v>
      </c>
      <c r="J479" s="4">
        <v>1795</v>
      </c>
      <c r="K479" s="4">
        <v>5385</v>
      </c>
      <c r="O479" t="s">
        <v>100</v>
      </c>
      <c r="P479" s="4">
        <v>3769.95</v>
      </c>
      <c r="S479">
        <v>38.25</v>
      </c>
      <c r="U479">
        <v>22</v>
      </c>
      <c r="V479">
        <v>14</v>
      </c>
      <c r="W479">
        <v>26.01</v>
      </c>
      <c r="X479">
        <v>1</v>
      </c>
      <c r="Y479">
        <v>40</v>
      </c>
      <c r="Z479">
        <v>24</v>
      </c>
      <c r="AA479">
        <v>24</v>
      </c>
      <c r="AB479">
        <v>13.333</v>
      </c>
      <c r="AC479">
        <v>33</v>
      </c>
      <c r="AE479">
        <v>3</v>
      </c>
      <c r="AF479" t="s">
        <v>101</v>
      </c>
      <c r="AG479">
        <v>60</v>
      </c>
      <c r="AK479" t="s">
        <v>102</v>
      </c>
      <c r="AM479" t="s">
        <v>102</v>
      </c>
      <c r="AN479" t="s">
        <v>102</v>
      </c>
      <c r="AO479" t="s">
        <v>102</v>
      </c>
      <c r="AP479" t="s">
        <v>117</v>
      </c>
      <c r="AQ479" t="s">
        <v>104</v>
      </c>
      <c r="AV479" t="s">
        <v>102</v>
      </c>
      <c r="AX479" t="s">
        <v>2216</v>
      </c>
      <c r="AZ479" t="s">
        <v>163</v>
      </c>
      <c r="BF479" t="s">
        <v>2221</v>
      </c>
      <c r="BG479" t="s">
        <v>102</v>
      </c>
      <c r="BH479" t="s">
        <v>102</v>
      </c>
      <c r="BI479" t="s">
        <v>102</v>
      </c>
      <c r="BK479" t="s">
        <v>107</v>
      </c>
      <c r="BL479" t="s">
        <v>180</v>
      </c>
      <c r="CA479" t="s">
        <v>2220</v>
      </c>
      <c r="CB479" t="s">
        <v>2216</v>
      </c>
      <c r="CL479" t="s">
        <v>102</v>
      </c>
      <c r="CM479" t="s">
        <v>102</v>
      </c>
      <c r="CN479" t="s">
        <v>361</v>
      </c>
      <c r="CO479" s="1">
        <v>41761</v>
      </c>
      <c r="CP479" s="1">
        <v>43634</v>
      </c>
    </row>
    <row r="480" spans="1:94" x14ac:dyDescent="0.25">
      <c r="A480" t="s">
        <v>2222</v>
      </c>
      <c r="B480" t="str">
        <f xml:space="preserve"> "" &amp; 840254031487</f>
        <v>840254031487</v>
      </c>
      <c r="C480" t="s">
        <v>178</v>
      </c>
      <c r="D480" t="s">
        <v>178</v>
      </c>
      <c r="F480" t="s">
        <v>179</v>
      </c>
      <c r="G480">
        <v>1</v>
      </c>
      <c r="H480">
        <v>1</v>
      </c>
      <c r="I480" t="s">
        <v>99</v>
      </c>
      <c r="J480" s="4">
        <v>205</v>
      </c>
      <c r="K480" s="4">
        <v>615</v>
      </c>
      <c r="O480" t="s">
        <v>100</v>
      </c>
      <c r="P480" s="4">
        <v>429.95</v>
      </c>
      <c r="S480">
        <v>7</v>
      </c>
      <c r="U480">
        <v>10.25</v>
      </c>
      <c r="V480">
        <v>6.5</v>
      </c>
      <c r="W480">
        <v>3</v>
      </c>
      <c r="X480">
        <v>1</v>
      </c>
      <c r="Y480">
        <v>10.5</v>
      </c>
      <c r="Z480">
        <v>12.5</v>
      </c>
      <c r="AA480">
        <v>12.5</v>
      </c>
      <c r="AB480">
        <v>0.94899999999999995</v>
      </c>
      <c r="AC480">
        <v>4.5</v>
      </c>
      <c r="AE480">
        <v>2</v>
      </c>
      <c r="AF480" t="s">
        <v>101</v>
      </c>
      <c r="AG480">
        <v>20</v>
      </c>
      <c r="AK480" t="s">
        <v>102</v>
      </c>
      <c r="AM480" t="s">
        <v>102</v>
      </c>
      <c r="AN480" t="s">
        <v>102</v>
      </c>
      <c r="AO480" t="s">
        <v>102</v>
      </c>
      <c r="AP480" t="s">
        <v>117</v>
      </c>
      <c r="AQ480" t="s">
        <v>104</v>
      </c>
      <c r="AV480" t="s">
        <v>102</v>
      </c>
      <c r="AX480" t="s">
        <v>297</v>
      </c>
      <c r="AZ480" t="s">
        <v>163</v>
      </c>
      <c r="BF480" t="s">
        <v>2223</v>
      </c>
      <c r="BG480" t="s">
        <v>102</v>
      </c>
      <c r="BH480" t="s">
        <v>102</v>
      </c>
      <c r="BI480" t="s">
        <v>102</v>
      </c>
      <c r="BK480" t="s">
        <v>107</v>
      </c>
      <c r="BL480" t="s">
        <v>180</v>
      </c>
      <c r="CA480" t="s">
        <v>2224</v>
      </c>
      <c r="CB480" t="s">
        <v>297</v>
      </c>
      <c r="CL480" t="s">
        <v>102</v>
      </c>
      <c r="CM480" t="s">
        <v>102</v>
      </c>
      <c r="CN480" t="s">
        <v>361</v>
      </c>
      <c r="CO480" s="1">
        <v>41761</v>
      </c>
      <c r="CP480" s="1">
        <v>43634</v>
      </c>
    </row>
    <row r="481" spans="1:94" x14ac:dyDescent="0.25">
      <c r="A481" t="s">
        <v>2225</v>
      </c>
      <c r="B481" t="str">
        <f xml:space="preserve"> "" &amp; 840254031494</f>
        <v>840254031494</v>
      </c>
      <c r="C481" t="s">
        <v>178</v>
      </c>
      <c r="D481" t="s">
        <v>178</v>
      </c>
      <c r="F481" t="s">
        <v>179</v>
      </c>
      <c r="G481">
        <v>1</v>
      </c>
      <c r="H481">
        <v>1</v>
      </c>
      <c r="I481" t="s">
        <v>99</v>
      </c>
      <c r="J481" s="4">
        <v>185</v>
      </c>
      <c r="K481" s="4">
        <v>555</v>
      </c>
      <c r="O481" t="s">
        <v>100</v>
      </c>
      <c r="P481" s="4">
        <v>389.95</v>
      </c>
      <c r="S481">
        <v>7</v>
      </c>
      <c r="U481">
        <v>10.25</v>
      </c>
      <c r="V481">
        <v>6.5</v>
      </c>
      <c r="W481">
        <v>5.5</v>
      </c>
      <c r="X481">
        <v>1</v>
      </c>
      <c r="Y481">
        <v>11</v>
      </c>
      <c r="Z481">
        <v>12</v>
      </c>
      <c r="AA481">
        <v>12</v>
      </c>
      <c r="AB481">
        <v>0.91700000000000004</v>
      </c>
      <c r="AC481">
        <v>5.5</v>
      </c>
      <c r="AE481">
        <v>2</v>
      </c>
      <c r="AF481" t="s">
        <v>101</v>
      </c>
      <c r="AG481">
        <v>60</v>
      </c>
      <c r="AK481" t="s">
        <v>102</v>
      </c>
      <c r="AM481" t="s">
        <v>102</v>
      </c>
      <c r="AN481" t="s">
        <v>102</v>
      </c>
      <c r="AO481" t="s">
        <v>102</v>
      </c>
      <c r="AP481" t="s">
        <v>117</v>
      </c>
      <c r="AQ481" t="s">
        <v>104</v>
      </c>
      <c r="AV481" t="s">
        <v>102</v>
      </c>
      <c r="AX481" t="s">
        <v>2226</v>
      </c>
      <c r="AZ481" t="s">
        <v>163</v>
      </c>
      <c r="BF481" t="s">
        <v>2227</v>
      </c>
      <c r="BG481" t="s">
        <v>102</v>
      </c>
      <c r="BH481" t="s">
        <v>102</v>
      </c>
      <c r="BI481" t="s">
        <v>102</v>
      </c>
      <c r="BK481" t="s">
        <v>107</v>
      </c>
      <c r="BL481" t="s">
        <v>180</v>
      </c>
      <c r="CA481" t="s">
        <v>2224</v>
      </c>
      <c r="CB481" t="s">
        <v>2226</v>
      </c>
      <c r="CL481" t="s">
        <v>102</v>
      </c>
      <c r="CM481" t="s">
        <v>102</v>
      </c>
      <c r="CN481" t="s">
        <v>361</v>
      </c>
      <c r="CO481" s="1">
        <v>41761</v>
      </c>
      <c r="CP481" s="1">
        <v>43634</v>
      </c>
    </row>
    <row r="482" spans="1:94" x14ac:dyDescent="0.25">
      <c r="A482" t="s">
        <v>2228</v>
      </c>
      <c r="B482" t="str">
        <f xml:space="preserve"> "" &amp; 840254031517</f>
        <v>840254031517</v>
      </c>
      <c r="C482" t="s">
        <v>290</v>
      </c>
      <c r="D482" t="s">
        <v>290</v>
      </c>
      <c r="F482" t="s">
        <v>179</v>
      </c>
      <c r="G482">
        <v>1</v>
      </c>
      <c r="H482">
        <v>1</v>
      </c>
      <c r="I482" t="s">
        <v>99</v>
      </c>
      <c r="J482" s="4">
        <v>200</v>
      </c>
      <c r="K482" s="4">
        <v>600</v>
      </c>
      <c r="O482" t="s">
        <v>100</v>
      </c>
      <c r="P482" s="4">
        <v>419.95</v>
      </c>
      <c r="S482">
        <v>7.75</v>
      </c>
      <c r="U482">
        <v>5</v>
      </c>
      <c r="V482">
        <v>4.75</v>
      </c>
      <c r="W482">
        <v>2.0099999999999998</v>
      </c>
      <c r="X482">
        <v>1</v>
      </c>
      <c r="Y482">
        <v>10</v>
      </c>
      <c r="Z482">
        <v>10</v>
      </c>
      <c r="AA482">
        <v>10</v>
      </c>
      <c r="AB482">
        <v>0.57899999999999996</v>
      </c>
      <c r="AC482">
        <v>3.5</v>
      </c>
      <c r="AE482">
        <v>1</v>
      </c>
      <c r="AF482" t="s">
        <v>101</v>
      </c>
      <c r="AG482">
        <v>60</v>
      </c>
      <c r="AK482" t="s">
        <v>102</v>
      </c>
      <c r="AM482" t="s">
        <v>102</v>
      </c>
      <c r="AN482" t="s">
        <v>102</v>
      </c>
      <c r="AO482" t="s">
        <v>102</v>
      </c>
      <c r="AP482" t="s">
        <v>117</v>
      </c>
      <c r="AQ482" t="s">
        <v>104</v>
      </c>
      <c r="AV482" t="s">
        <v>102</v>
      </c>
      <c r="AX482" t="s">
        <v>372</v>
      </c>
      <c r="AZ482" t="s">
        <v>163</v>
      </c>
      <c r="BF482" t="s">
        <v>2229</v>
      </c>
      <c r="BG482" t="s">
        <v>102</v>
      </c>
      <c r="BH482" t="s">
        <v>102</v>
      </c>
      <c r="BI482" t="s">
        <v>102</v>
      </c>
      <c r="BK482" t="s">
        <v>107</v>
      </c>
      <c r="CA482" t="s">
        <v>2230</v>
      </c>
      <c r="CB482" t="s">
        <v>372</v>
      </c>
      <c r="CL482" t="s">
        <v>102</v>
      </c>
      <c r="CM482" t="s">
        <v>102</v>
      </c>
      <c r="CN482" t="s">
        <v>361</v>
      </c>
      <c r="CO482" s="1">
        <v>41761</v>
      </c>
      <c r="CP482" s="1">
        <v>43634</v>
      </c>
    </row>
    <row r="483" spans="1:94" x14ac:dyDescent="0.25">
      <c r="A483" t="s">
        <v>2231</v>
      </c>
      <c r="B483" t="str">
        <f xml:space="preserve"> "" &amp; 840254031531</f>
        <v>840254031531</v>
      </c>
      <c r="C483" t="s">
        <v>178</v>
      </c>
      <c r="D483" t="s">
        <v>178</v>
      </c>
      <c r="F483" t="s">
        <v>179</v>
      </c>
      <c r="G483">
        <v>1</v>
      </c>
      <c r="H483">
        <v>1</v>
      </c>
      <c r="I483" t="s">
        <v>99</v>
      </c>
      <c r="J483" s="4">
        <v>325</v>
      </c>
      <c r="K483" s="4">
        <v>975</v>
      </c>
      <c r="O483" t="s">
        <v>100</v>
      </c>
      <c r="P483" s="4">
        <v>679.95</v>
      </c>
      <c r="S483">
        <v>7.5</v>
      </c>
      <c r="U483">
        <v>8.25</v>
      </c>
      <c r="V483">
        <v>4</v>
      </c>
      <c r="W483">
        <v>3</v>
      </c>
      <c r="X483">
        <v>1</v>
      </c>
      <c r="Y483">
        <v>12</v>
      </c>
      <c r="Z483">
        <v>12</v>
      </c>
      <c r="AA483">
        <v>12</v>
      </c>
      <c r="AB483">
        <v>1</v>
      </c>
      <c r="AC483">
        <v>3</v>
      </c>
      <c r="AE483">
        <v>2</v>
      </c>
      <c r="AF483" t="s">
        <v>101</v>
      </c>
      <c r="AG483">
        <v>60</v>
      </c>
      <c r="AK483" t="s">
        <v>102</v>
      </c>
      <c r="AM483" t="s">
        <v>102</v>
      </c>
      <c r="AN483" t="s">
        <v>102</v>
      </c>
      <c r="AO483" t="s">
        <v>102</v>
      </c>
      <c r="AP483" t="s">
        <v>117</v>
      </c>
      <c r="AQ483" t="s">
        <v>104</v>
      </c>
      <c r="AV483" t="s">
        <v>102</v>
      </c>
      <c r="AX483" t="s">
        <v>372</v>
      </c>
      <c r="AZ483" t="s">
        <v>163</v>
      </c>
      <c r="BF483" t="s">
        <v>2232</v>
      </c>
      <c r="BG483" t="s">
        <v>102</v>
      </c>
      <c r="BH483" t="s">
        <v>100</v>
      </c>
      <c r="BI483" t="s">
        <v>102</v>
      </c>
      <c r="BK483" t="s">
        <v>107</v>
      </c>
      <c r="CA483" t="s">
        <v>2233</v>
      </c>
      <c r="CB483" t="s">
        <v>372</v>
      </c>
      <c r="CL483" t="s">
        <v>102</v>
      </c>
      <c r="CM483" t="s">
        <v>102</v>
      </c>
      <c r="CN483" t="s">
        <v>361</v>
      </c>
      <c r="CO483" s="1">
        <v>41761</v>
      </c>
      <c r="CP483" s="1">
        <v>43634</v>
      </c>
    </row>
    <row r="484" spans="1:94" x14ac:dyDescent="0.25">
      <c r="A484" t="s">
        <v>2234</v>
      </c>
      <c r="B484" t="str">
        <f xml:space="preserve"> "" &amp; 840254031524</f>
        <v>840254031524</v>
      </c>
      <c r="C484" t="s">
        <v>178</v>
      </c>
      <c r="D484" t="s">
        <v>178</v>
      </c>
      <c r="F484" t="s">
        <v>179</v>
      </c>
      <c r="G484">
        <v>1</v>
      </c>
      <c r="H484">
        <v>1</v>
      </c>
      <c r="I484" t="s">
        <v>99</v>
      </c>
      <c r="J484" s="4">
        <v>335</v>
      </c>
      <c r="K484" s="4">
        <v>1005</v>
      </c>
      <c r="O484" t="s">
        <v>100</v>
      </c>
      <c r="P484" s="4">
        <v>704.95</v>
      </c>
      <c r="S484">
        <v>7.5</v>
      </c>
      <c r="U484">
        <v>8.25</v>
      </c>
      <c r="V484">
        <v>4</v>
      </c>
      <c r="W484">
        <v>3</v>
      </c>
      <c r="X484">
        <v>1</v>
      </c>
      <c r="Y484">
        <v>12</v>
      </c>
      <c r="Z484">
        <v>12</v>
      </c>
      <c r="AA484">
        <v>12</v>
      </c>
      <c r="AB484">
        <v>1</v>
      </c>
      <c r="AC484">
        <v>3</v>
      </c>
      <c r="AE484">
        <v>2</v>
      </c>
      <c r="AF484" t="s">
        <v>101</v>
      </c>
      <c r="AG484">
        <v>60</v>
      </c>
      <c r="AK484" t="s">
        <v>102</v>
      </c>
      <c r="AM484" t="s">
        <v>102</v>
      </c>
      <c r="AN484" t="s">
        <v>102</v>
      </c>
      <c r="AO484" t="s">
        <v>102</v>
      </c>
      <c r="AP484" t="s">
        <v>117</v>
      </c>
      <c r="AQ484" t="s">
        <v>104</v>
      </c>
      <c r="AV484" t="s">
        <v>102</v>
      </c>
      <c r="AX484" t="s">
        <v>2226</v>
      </c>
      <c r="AZ484" t="s">
        <v>163</v>
      </c>
      <c r="BF484" t="s">
        <v>2235</v>
      </c>
      <c r="BG484" t="s">
        <v>102</v>
      </c>
      <c r="BH484" t="s">
        <v>100</v>
      </c>
      <c r="BI484" t="s">
        <v>102</v>
      </c>
      <c r="BK484" t="s">
        <v>107</v>
      </c>
      <c r="BL484" t="s">
        <v>180</v>
      </c>
      <c r="CA484" t="s">
        <v>2233</v>
      </c>
      <c r="CB484" t="s">
        <v>2226</v>
      </c>
      <c r="CL484" t="s">
        <v>102</v>
      </c>
      <c r="CM484" t="s">
        <v>102</v>
      </c>
      <c r="CN484" t="s">
        <v>361</v>
      </c>
      <c r="CO484" s="1">
        <v>41761</v>
      </c>
      <c r="CP484" s="1">
        <v>43634</v>
      </c>
    </row>
    <row r="485" spans="1:94" x14ac:dyDescent="0.25">
      <c r="A485" t="s">
        <v>2236</v>
      </c>
      <c r="B485" t="str">
        <f xml:space="preserve"> "" &amp; 840254031326</f>
        <v>840254031326</v>
      </c>
      <c r="C485" t="s">
        <v>178</v>
      </c>
      <c r="D485" t="s">
        <v>178</v>
      </c>
      <c r="F485" t="s">
        <v>179</v>
      </c>
      <c r="G485">
        <v>1</v>
      </c>
      <c r="H485">
        <v>1</v>
      </c>
      <c r="I485" t="s">
        <v>99</v>
      </c>
      <c r="J485" s="4">
        <v>300</v>
      </c>
      <c r="K485" s="4">
        <v>900</v>
      </c>
      <c r="O485" t="s">
        <v>100</v>
      </c>
      <c r="P485" s="4">
        <v>629.95000000000005</v>
      </c>
      <c r="S485">
        <v>12.25</v>
      </c>
      <c r="U485">
        <v>9</v>
      </c>
      <c r="V485">
        <v>5.25</v>
      </c>
      <c r="W485">
        <v>3</v>
      </c>
      <c r="X485">
        <v>1</v>
      </c>
      <c r="Y485">
        <v>20.149999999999999</v>
      </c>
      <c r="Z485">
        <v>18.5</v>
      </c>
      <c r="AA485">
        <v>18.5</v>
      </c>
      <c r="AB485">
        <v>3.9910000000000001</v>
      </c>
      <c r="AC485">
        <v>22</v>
      </c>
      <c r="AE485">
        <v>2</v>
      </c>
      <c r="AF485" t="s">
        <v>383</v>
      </c>
      <c r="AG485">
        <v>60</v>
      </c>
      <c r="AK485" t="s">
        <v>102</v>
      </c>
      <c r="AL485">
        <v>2</v>
      </c>
      <c r="AM485" t="s">
        <v>102</v>
      </c>
      <c r="AN485" t="s">
        <v>102</v>
      </c>
      <c r="AO485" t="s">
        <v>102</v>
      </c>
      <c r="AP485" t="s">
        <v>117</v>
      </c>
      <c r="AQ485" t="s">
        <v>104</v>
      </c>
      <c r="AV485" t="s">
        <v>102</v>
      </c>
      <c r="AX485" t="s">
        <v>2216</v>
      </c>
      <c r="AZ485" t="s">
        <v>163</v>
      </c>
      <c r="BF485" t="s">
        <v>2237</v>
      </c>
      <c r="BG485" t="s">
        <v>102</v>
      </c>
      <c r="BH485" t="s">
        <v>102</v>
      </c>
      <c r="BI485" t="s">
        <v>102</v>
      </c>
      <c r="BL485" t="s">
        <v>180</v>
      </c>
      <c r="CA485" t="s">
        <v>2236</v>
      </c>
      <c r="CB485" t="s">
        <v>2216</v>
      </c>
      <c r="CL485" t="s">
        <v>102</v>
      </c>
      <c r="CM485" t="s">
        <v>102</v>
      </c>
      <c r="CO485" s="1">
        <v>39212</v>
      </c>
      <c r="CP485" s="1">
        <v>43634</v>
      </c>
    </row>
    <row r="486" spans="1:94" x14ac:dyDescent="0.25">
      <c r="A486" t="s">
        <v>2238</v>
      </c>
      <c r="B486" t="str">
        <f xml:space="preserve"> "" &amp; 840254032118</f>
        <v>840254032118</v>
      </c>
      <c r="C486" t="s">
        <v>178</v>
      </c>
      <c r="D486" t="s">
        <v>178</v>
      </c>
      <c r="F486" t="s">
        <v>179</v>
      </c>
      <c r="G486">
        <v>1</v>
      </c>
      <c r="H486">
        <v>1</v>
      </c>
      <c r="I486" t="s">
        <v>99</v>
      </c>
      <c r="J486" s="4">
        <v>675</v>
      </c>
      <c r="K486" s="4">
        <v>2025</v>
      </c>
      <c r="O486" t="s">
        <v>100</v>
      </c>
      <c r="P486" s="4">
        <v>1419.95</v>
      </c>
      <c r="S486">
        <v>11.75</v>
      </c>
      <c r="U486">
        <v>16.25</v>
      </c>
      <c r="V486">
        <v>7.25</v>
      </c>
      <c r="W486">
        <v>7.01</v>
      </c>
      <c r="X486">
        <v>1</v>
      </c>
      <c r="Y486">
        <v>12</v>
      </c>
      <c r="Z486">
        <v>18</v>
      </c>
      <c r="AA486">
        <v>18</v>
      </c>
      <c r="AB486">
        <v>2.25</v>
      </c>
      <c r="AC486">
        <v>10.050000000000001</v>
      </c>
      <c r="AE486">
        <v>2</v>
      </c>
      <c r="AF486" t="s">
        <v>101</v>
      </c>
      <c r="AG486">
        <v>60</v>
      </c>
      <c r="AK486" t="s">
        <v>102</v>
      </c>
      <c r="AM486" t="s">
        <v>102</v>
      </c>
      <c r="AN486" t="s">
        <v>102</v>
      </c>
      <c r="AO486" t="s">
        <v>102</v>
      </c>
      <c r="AP486" t="s">
        <v>117</v>
      </c>
      <c r="AQ486" t="s">
        <v>104</v>
      </c>
      <c r="AV486" t="s">
        <v>102</v>
      </c>
      <c r="AX486" t="s">
        <v>297</v>
      </c>
      <c r="AZ486" t="s">
        <v>163</v>
      </c>
      <c r="BF486" t="s">
        <v>2239</v>
      </c>
      <c r="BG486" t="s">
        <v>102</v>
      </c>
      <c r="BH486" t="s">
        <v>102</v>
      </c>
      <c r="BI486" t="s">
        <v>102</v>
      </c>
      <c r="BK486" t="s">
        <v>107</v>
      </c>
      <c r="BL486" t="s">
        <v>180</v>
      </c>
      <c r="BQ486">
        <v>5</v>
      </c>
      <c r="BS486">
        <v>5</v>
      </c>
      <c r="BT486">
        <v>5</v>
      </c>
      <c r="CA486" t="s">
        <v>2240</v>
      </c>
      <c r="CB486" t="s">
        <v>297</v>
      </c>
      <c r="CL486" t="s">
        <v>102</v>
      </c>
      <c r="CM486" t="s">
        <v>102</v>
      </c>
      <c r="CN486" t="s">
        <v>361</v>
      </c>
      <c r="CO486" s="1">
        <v>41761</v>
      </c>
      <c r="CP486" s="1">
        <v>43634</v>
      </c>
    </row>
    <row r="487" spans="1:94" x14ac:dyDescent="0.25">
      <c r="A487" t="s">
        <v>2241</v>
      </c>
      <c r="B487" t="str">
        <f xml:space="preserve"> "" &amp; 840254032125</f>
        <v>840254032125</v>
      </c>
      <c r="C487" t="s">
        <v>230</v>
      </c>
      <c r="D487" t="s">
        <v>230</v>
      </c>
      <c r="F487" t="s">
        <v>179</v>
      </c>
      <c r="G487">
        <v>1</v>
      </c>
      <c r="H487">
        <v>1</v>
      </c>
      <c r="I487" t="s">
        <v>99</v>
      </c>
      <c r="J487" s="4">
        <v>825</v>
      </c>
      <c r="K487" s="4">
        <v>2475</v>
      </c>
      <c r="O487" t="s">
        <v>100</v>
      </c>
      <c r="P487" s="4">
        <v>1729.95</v>
      </c>
      <c r="S487">
        <v>21.75</v>
      </c>
      <c r="U487">
        <v>12.5</v>
      </c>
      <c r="V487">
        <v>7.75</v>
      </c>
      <c r="W487">
        <v>11</v>
      </c>
      <c r="X487">
        <v>1</v>
      </c>
      <c r="Y487">
        <v>16.54</v>
      </c>
      <c r="Z487">
        <v>24.41</v>
      </c>
      <c r="AA487">
        <v>24.41</v>
      </c>
      <c r="AB487">
        <v>5.7030000000000003</v>
      </c>
      <c r="AC487">
        <v>15.4</v>
      </c>
      <c r="AE487">
        <v>3</v>
      </c>
      <c r="AF487" t="s">
        <v>101</v>
      </c>
      <c r="AG487">
        <v>60</v>
      </c>
      <c r="AK487" t="s">
        <v>102</v>
      </c>
      <c r="AM487" t="s">
        <v>102</v>
      </c>
      <c r="AN487" t="s">
        <v>102</v>
      </c>
      <c r="AO487" t="s">
        <v>102</v>
      </c>
      <c r="AP487" t="s">
        <v>117</v>
      </c>
      <c r="AQ487" t="s">
        <v>104</v>
      </c>
      <c r="AV487" t="s">
        <v>102</v>
      </c>
      <c r="AX487" t="s">
        <v>297</v>
      </c>
      <c r="AZ487" t="s">
        <v>163</v>
      </c>
      <c r="BF487" t="s">
        <v>2242</v>
      </c>
      <c r="BG487" t="s">
        <v>102</v>
      </c>
      <c r="BH487" t="s">
        <v>102</v>
      </c>
      <c r="BI487" t="s">
        <v>102</v>
      </c>
      <c r="BK487" t="s">
        <v>107</v>
      </c>
      <c r="BL487" t="s">
        <v>180</v>
      </c>
      <c r="BQ487">
        <v>4.88</v>
      </c>
      <c r="BS487">
        <v>4.88</v>
      </c>
      <c r="BT487">
        <v>4.88</v>
      </c>
      <c r="CA487" t="s">
        <v>2240</v>
      </c>
      <c r="CB487" t="s">
        <v>297</v>
      </c>
      <c r="CL487" t="s">
        <v>102</v>
      </c>
      <c r="CM487" t="s">
        <v>102</v>
      </c>
      <c r="CN487" t="s">
        <v>361</v>
      </c>
      <c r="CO487" s="1">
        <v>41761</v>
      </c>
      <c r="CP487" s="1">
        <v>43634</v>
      </c>
    </row>
    <row r="488" spans="1:94" x14ac:dyDescent="0.25">
      <c r="A488" t="s">
        <v>2243</v>
      </c>
      <c r="B488" t="str">
        <f xml:space="preserve"> "" &amp; 840253049117</f>
        <v>840253049117</v>
      </c>
      <c r="C488" t="s">
        <v>2244</v>
      </c>
      <c r="D488" t="s">
        <v>2245</v>
      </c>
      <c r="F488" t="s">
        <v>116</v>
      </c>
      <c r="G488">
        <v>1</v>
      </c>
      <c r="H488">
        <v>1</v>
      </c>
      <c r="I488" t="s">
        <v>99</v>
      </c>
      <c r="J488" s="4">
        <v>45</v>
      </c>
      <c r="K488" s="4">
        <v>135</v>
      </c>
      <c r="S488">
        <v>11</v>
      </c>
      <c r="U488">
        <v>17</v>
      </c>
      <c r="W488">
        <v>1.54</v>
      </c>
      <c r="X488">
        <v>1</v>
      </c>
      <c r="Y488">
        <v>12</v>
      </c>
      <c r="Z488">
        <v>19</v>
      </c>
      <c r="AA488">
        <v>19</v>
      </c>
      <c r="AB488">
        <v>2.5070000000000001</v>
      </c>
      <c r="AC488">
        <v>5.07</v>
      </c>
      <c r="AK488" t="s">
        <v>102</v>
      </c>
      <c r="AM488" t="s">
        <v>102</v>
      </c>
      <c r="AN488" t="s">
        <v>102</v>
      </c>
      <c r="AO488" t="s">
        <v>102</v>
      </c>
      <c r="AP488" t="s">
        <v>117</v>
      </c>
      <c r="AQ488" t="s">
        <v>104</v>
      </c>
      <c r="AV488" t="s">
        <v>102</v>
      </c>
      <c r="BB488" t="s">
        <v>1332</v>
      </c>
      <c r="BF488" t="s">
        <v>2246</v>
      </c>
      <c r="BG488" t="s">
        <v>102</v>
      </c>
      <c r="BH488" t="s">
        <v>102</v>
      </c>
      <c r="BI488" t="s">
        <v>102</v>
      </c>
      <c r="CA488" t="s">
        <v>2243</v>
      </c>
      <c r="CL488" t="s">
        <v>102</v>
      </c>
      <c r="CM488" t="s">
        <v>102</v>
      </c>
      <c r="CN488" t="s">
        <v>1332</v>
      </c>
      <c r="CO488" s="1">
        <v>40424</v>
      </c>
      <c r="CP488" s="1">
        <v>43634</v>
      </c>
    </row>
    <row r="489" spans="1:94" x14ac:dyDescent="0.25">
      <c r="A489" t="s">
        <v>2247</v>
      </c>
      <c r="B489" t="str">
        <f xml:space="preserve"> "" &amp; 840254022300</f>
        <v>840254022300</v>
      </c>
      <c r="C489" t="s">
        <v>2248</v>
      </c>
      <c r="D489" t="s">
        <v>2249</v>
      </c>
      <c r="F489" t="s">
        <v>115</v>
      </c>
      <c r="G489">
        <v>1</v>
      </c>
      <c r="H489">
        <v>1</v>
      </c>
      <c r="I489" t="s">
        <v>99</v>
      </c>
      <c r="J489" s="4">
        <v>16.95</v>
      </c>
      <c r="K489" s="4">
        <v>50.85</v>
      </c>
      <c r="O489" t="s">
        <v>100</v>
      </c>
      <c r="P489" s="4">
        <v>34.950000000000003</v>
      </c>
      <c r="S489">
        <v>5</v>
      </c>
      <c r="U489">
        <v>3</v>
      </c>
      <c r="W489">
        <v>0.49</v>
      </c>
      <c r="X489">
        <v>1</v>
      </c>
      <c r="Y489">
        <v>16.5</v>
      </c>
      <c r="Z489">
        <v>22</v>
      </c>
      <c r="AA489">
        <v>16.5</v>
      </c>
      <c r="AB489">
        <v>3.4660000000000002</v>
      </c>
      <c r="AC489">
        <v>0.61</v>
      </c>
      <c r="AK489" t="s">
        <v>102</v>
      </c>
      <c r="AM489" t="s">
        <v>102</v>
      </c>
      <c r="AN489" t="s">
        <v>102</v>
      </c>
      <c r="AO489" t="s">
        <v>102</v>
      </c>
      <c r="AP489" t="s">
        <v>117</v>
      </c>
      <c r="AQ489" t="s">
        <v>104</v>
      </c>
      <c r="AV489" t="s">
        <v>102</v>
      </c>
      <c r="BF489" t="s">
        <v>2250</v>
      </c>
      <c r="BG489" t="s">
        <v>102</v>
      </c>
      <c r="BH489" t="s">
        <v>102</v>
      </c>
      <c r="BI489" t="s">
        <v>102</v>
      </c>
      <c r="BK489" t="s">
        <v>107</v>
      </c>
      <c r="CA489" t="s">
        <v>2247</v>
      </c>
      <c r="CL489" t="s">
        <v>102</v>
      </c>
      <c r="CM489" t="s">
        <v>102</v>
      </c>
      <c r="CN489" t="s">
        <v>2251</v>
      </c>
      <c r="CO489" s="1">
        <v>41761</v>
      </c>
      <c r="CP489" s="1">
        <v>43634</v>
      </c>
    </row>
    <row r="490" spans="1:94" x14ac:dyDescent="0.25">
      <c r="A490" t="s">
        <v>2252</v>
      </c>
      <c r="B490" t="str">
        <f xml:space="preserve"> "" &amp; 840254022447</f>
        <v>840254022447</v>
      </c>
      <c r="C490" t="s">
        <v>2248</v>
      </c>
      <c r="D490" t="s">
        <v>2249</v>
      </c>
      <c r="F490" t="s">
        <v>115</v>
      </c>
      <c r="G490">
        <v>1</v>
      </c>
      <c r="H490">
        <v>1</v>
      </c>
      <c r="I490" t="s">
        <v>99</v>
      </c>
      <c r="J490" s="4">
        <v>18.95</v>
      </c>
      <c r="K490" s="4">
        <v>56.85</v>
      </c>
      <c r="O490" t="s">
        <v>100</v>
      </c>
      <c r="P490" s="4">
        <v>39.950000000000003</v>
      </c>
      <c r="S490">
        <v>5</v>
      </c>
      <c r="U490">
        <v>3</v>
      </c>
      <c r="W490">
        <v>0.36</v>
      </c>
      <c r="X490">
        <v>1</v>
      </c>
      <c r="Y490">
        <v>21.75</v>
      </c>
      <c r="Z490">
        <v>23.75</v>
      </c>
      <c r="AA490">
        <v>23.75</v>
      </c>
      <c r="AB490">
        <v>7.1</v>
      </c>
      <c r="AC490">
        <v>0.46</v>
      </c>
      <c r="AK490" t="s">
        <v>102</v>
      </c>
      <c r="AM490" t="s">
        <v>102</v>
      </c>
      <c r="AN490" t="s">
        <v>102</v>
      </c>
      <c r="AO490" t="s">
        <v>102</v>
      </c>
      <c r="AP490" t="s">
        <v>117</v>
      </c>
      <c r="AQ490" t="s">
        <v>104</v>
      </c>
      <c r="AV490" t="s">
        <v>102</v>
      </c>
      <c r="BF490" t="s">
        <v>2253</v>
      </c>
      <c r="BG490" t="s">
        <v>102</v>
      </c>
      <c r="BH490" t="s">
        <v>102</v>
      </c>
      <c r="BI490" t="s">
        <v>102</v>
      </c>
      <c r="BK490" t="s">
        <v>107</v>
      </c>
      <c r="CA490" t="s">
        <v>2252</v>
      </c>
      <c r="CL490" t="s">
        <v>102</v>
      </c>
      <c r="CM490" t="s">
        <v>102</v>
      </c>
      <c r="CN490" t="s">
        <v>2254</v>
      </c>
      <c r="CO490" s="1">
        <v>41761</v>
      </c>
      <c r="CP490" s="1">
        <v>43634</v>
      </c>
    </row>
  </sheetData>
  <sortState ref="A3:CP490">
    <sortCondition ref="A3:A49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METRO ALA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Williams</dc:creator>
  <cp:lastModifiedBy>Kathryn Kelly</cp:lastModifiedBy>
  <dcterms:created xsi:type="dcterms:W3CDTF">2019-07-29T20:22:21Z</dcterms:created>
  <dcterms:modified xsi:type="dcterms:W3CDTF">2019-07-29T22:26:35Z</dcterms:modified>
</cp:coreProperties>
</file>