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AIRE 7-26-19" sheetId="1" r:id="rId1"/>
  </sheets>
  <calcPr calcId="145621"/>
</workbook>
</file>

<file path=xl/calcChain.xml><?xml version="1.0" encoding="utf-8"?>
<calcChain xmlns="http://schemas.openxmlformats.org/spreadsheetml/2006/main">
  <c r="B1078" i="1" l="1"/>
  <c r="B1077" i="1"/>
  <c r="B978" i="1" l="1"/>
  <c r="B979" i="1"/>
  <c r="B980" i="1"/>
  <c r="E691" i="1" l="1"/>
  <c r="E686" i="1"/>
  <c r="E720" i="1"/>
  <c r="E716" i="1"/>
  <c r="E715" i="1"/>
  <c r="E714" i="1"/>
  <c r="E693" i="1"/>
  <c r="B13" i="1" l="1"/>
  <c r="B4" i="1"/>
  <c r="B5" i="1"/>
  <c r="B6" i="1"/>
  <c r="B7" i="1"/>
  <c r="B14" i="1"/>
  <c r="B15" i="1"/>
  <c r="B16" i="1"/>
  <c r="B17" i="1"/>
  <c r="B8" i="1"/>
  <c r="B9" i="1"/>
  <c r="B10" i="1"/>
  <c r="B11" i="1"/>
  <c r="B12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E676" i="1"/>
  <c r="B677" i="1"/>
  <c r="E677" i="1"/>
  <c r="B678" i="1"/>
  <c r="B679" i="1"/>
  <c r="B680" i="1"/>
  <c r="B681" i="1"/>
  <c r="E681" i="1"/>
  <c r="B682" i="1"/>
  <c r="E682" i="1"/>
  <c r="B683" i="1"/>
  <c r="B684" i="1"/>
  <c r="B685" i="1"/>
  <c r="B686" i="1"/>
  <c r="B687" i="1"/>
  <c r="E687" i="1"/>
  <c r="B688" i="1"/>
  <c r="E688" i="1"/>
  <c r="B689" i="1"/>
  <c r="E689" i="1"/>
  <c r="B690" i="1"/>
  <c r="E690" i="1"/>
  <c r="B691" i="1"/>
  <c r="B692" i="1"/>
  <c r="E692" i="1"/>
  <c r="B693" i="1"/>
  <c r="B694" i="1"/>
  <c r="E694" i="1"/>
  <c r="B695" i="1"/>
  <c r="E695" i="1"/>
  <c r="B696" i="1"/>
  <c r="B697" i="1"/>
  <c r="B698" i="1"/>
  <c r="B699" i="1"/>
  <c r="B700" i="1"/>
  <c r="B701" i="1"/>
  <c r="B702" i="1"/>
  <c r="B703" i="1"/>
  <c r="B704" i="1"/>
  <c r="B705" i="1"/>
  <c r="B706" i="1"/>
  <c r="E706" i="1"/>
  <c r="B707" i="1"/>
  <c r="E707" i="1"/>
  <c r="B708" i="1"/>
  <c r="E708" i="1"/>
  <c r="B709" i="1"/>
  <c r="E709" i="1"/>
  <c r="B710" i="1"/>
  <c r="E710" i="1"/>
  <c r="B711" i="1"/>
  <c r="E711" i="1"/>
  <c r="B712" i="1"/>
  <c r="E712" i="1"/>
  <c r="B713" i="1"/>
  <c r="E713" i="1"/>
  <c r="B714" i="1"/>
  <c r="B715" i="1"/>
  <c r="B716" i="1"/>
  <c r="B717" i="1"/>
  <c r="E717" i="1"/>
  <c r="B718" i="1"/>
  <c r="E718" i="1"/>
  <c r="B719" i="1"/>
  <c r="E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E763" i="1"/>
  <c r="B764" i="1"/>
  <c r="B765" i="1"/>
  <c r="B766" i="1"/>
  <c r="B767" i="1"/>
  <c r="B768" i="1"/>
  <c r="B769" i="1"/>
  <c r="B770" i="1"/>
  <c r="B771" i="1"/>
  <c r="B777" i="1"/>
  <c r="B772" i="1"/>
  <c r="B773" i="1"/>
  <c r="B774" i="1"/>
  <c r="B775" i="1"/>
  <c r="B776" i="1"/>
  <c r="B778" i="1"/>
  <c r="B779" i="1"/>
  <c r="B780" i="1"/>
  <c r="B781" i="1"/>
  <c r="B789" i="1"/>
  <c r="B790" i="1"/>
  <c r="B782" i="1"/>
  <c r="B783" i="1"/>
  <c r="B784" i="1"/>
  <c r="B785" i="1"/>
  <c r="B786" i="1"/>
  <c r="B787" i="1"/>
  <c r="B788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E816" i="1"/>
  <c r="B817" i="1"/>
  <c r="E817" i="1"/>
  <c r="B818" i="1"/>
  <c r="E818" i="1"/>
  <c r="B819" i="1"/>
  <c r="E819" i="1"/>
  <c r="B820" i="1"/>
  <c r="B821" i="1"/>
  <c r="E821" i="1"/>
  <c r="B822" i="1"/>
  <c r="E822" i="1"/>
  <c r="B823" i="1"/>
  <c r="E823" i="1"/>
  <c r="B824" i="1"/>
  <c r="E824" i="1"/>
  <c r="B825" i="1"/>
  <c r="E825" i="1"/>
  <c r="B826" i="1"/>
  <c r="E826" i="1"/>
  <c r="B827" i="1"/>
  <c r="E827" i="1"/>
  <c r="B828" i="1"/>
  <c r="E828" i="1"/>
  <c r="B829" i="1"/>
  <c r="E829" i="1"/>
  <c r="B830" i="1"/>
  <c r="E830" i="1"/>
  <c r="B831" i="1"/>
  <c r="E831" i="1"/>
  <c r="B832" i="1"/>
  <c r="B833" i="1"/>
  <c r="B834" i="1"/>
  <c r="B835" i="1"/>
  <c r="B836" i="1"/>
  <c r="B837" i="1"/>
  <c r="B838" i="1"/>
  <c r="B839" i="1"/>
  <c r="B840" i="1"/>
  <c r="E840" i="1"/>
  <c r="B841" i="1"/>
  <c r="E841" i="1"/>
  <c r="B842" i="1"/>
  <c r="E842" i="1"/>
  <c r="B843" i="1"/>
  <c r="E843" i="1"/>
  <c r="B844" i="1"/>
  <c r="E844" i="1"/>
  <c r="B845" i="1"/>
  <c r="E845" i="1"/>
  <c r="B846" i="1"/>
  <c r="E846" i="1"/>
  <c r="B847" i="1"/>
  <c r="E847" i="1"/>
  <c r="B848" i="1"/>
  <c r="E848" i="1"/>
  <c r="B849" i="1"/>
  <c r="E849" i="1"/>
  <c r="B850" i="1"/>
  <c r="E850" i="1"/>
  <c r="B851" i="1"/>
  <c r="E851" i="1"/>
  <c r="B852" i="1"/>
  <c r="E852" i="1"/>
  <c r="B853" i="1"/>
  <c r="E853" i="1"/>
  <c r="B854" i="1"/>
  <c r="E854" i="1"/>
  <c r="B855" i="1"/>
  <c r="E855" i="1"/>
  <c r="B856" i="1"/>
  <c r="E856" i="1"/>
  <c r="B857" i="1"/>
  <c r="E857" i="1"/>
  <c r="B858" i="1"/>
  <c r="E858" i="1"/>
  <c r="B859" i="1"/>
  <c r="E859" i="1"/>
  <c r="B860" i="1"/>
  <c r="B861" i="1"/>
  <c r="B862" i="1"/>
  <c r="B863" i="1"/>
  <c r="B864" i="1"/>
  <c r="B865" i="1"/>
  <c r="B866" i="1"/>
  <c r="B867" i="1"/>
  <c r="B868" i="1"/>
  <c r="B869" i="1"/>
  <c r="B870" i="1"/>
  <c r="E870" i="1"/>
  <c r="B871" i="1"/>
  <c r="E871" i="1"/>
  <c r="B872" i="1"/>
  <c r="E872" i="1"/>
  <c r="B873" i="1"/>
  <c r="E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E942" i="1"/>
  <c r="B943" i="1"/>
  <c r="E943" i="1"/>
  <c r="B944" i="1"/>
  <c r="E944" i="1"/>
  <c r="B945" i="1"/>
  <c r="B946" i="1"/>
  <c r="B947" i="1"/>
  <c r="B948" i="1"/>
  <c r="E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81" i="1"/>
  <c r="B982" i="1"/>
  <c r="B983" i="1"/>
  <c r="B989" i="1"/>
  <c r="B990" i="1"/>
  <c r="B984" i="1"/>
  <c r="B985" i="1"/>
  <c r="B986" i="1"/>
  <c r="B987" i="1"/>
  <c r="B988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E1005" i="1"/>
  <c r="B1006" i="1"/>
  <c r="E1006" i="1"/>
  <c r="B1007" i="1"/>
  <c r="E1007" i="1"/>
  <c r="B1008" i="1"/>
  <c r="E1008" i="1"/>
  <c r="B1009" i="1"/>
  <c r="E1009" i="1"/>
  <c r="B1010" i="1"/>
  <c r="E1010" i="1"/>
  <c r="B1011" i="1"/>
  <c r="E1011" i="1"/>
  <c r="B1012" i="1"/>
  <c r="E1012" i="1"/>
  <c r="B1013" i="1"/>
  <c r="E1013" i="1"/>
  <c r="B1014" i="1"/>
  <c r="E1014" i="1"/>
  <c r="B1015" i="1"/>
  <c r="E1015" i="1"/>
  <c r="B1016" i="1"/>
  <c r="E1016" i="1"/>
  <c r="B1017" i="1"/>
  <c r="E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75" i="1"/>
  <c r="B1076" i="1"/>
  <c r="B1069" i="1"/>
  <c r="B1070" i="1"/>
  <c r="B1071" i="1"/>
  <c r="B1072" i="1"/>
  <c r="B1073" i="1"/>
  <c r="B1074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6" i="1"/>
  <c r="B1097" i="1"/>
  <c r="B1091" i="1"/>
  <c r="B1092" i="1"/>
  <c r="B1093" i="1"/>
  <c r="B1094" i="1"/>
  <c r="B1095" i="1"/>
  <c r="B1098" i="1"/>
  <c r="B1099" i="1"/>
  <c r="B1100" i="1"/>
  <c r="B1101" i="1"/>
  <c r="B1102" i="1"/>
  <c r="B1103" i="1"/>
  <c r="B1104" i="1"/>
  <c r="B1105" i="1"/>
  <c r="B1106" i="1"/>
  <c r="B1107" i="1"/>
  <c r="B1108" i="1"/>
  <c r="E1108" i="1"/>
  <c r="B1109" i="1"/>
  <c r="B1110" i="1"/>
  <c r="B1111" i="1"/>
  <c r="E1111" i="1"/>
  <c r="B1112" i="1"/>
  <c r="E1112" i="1"/>
  <c r="B1113" i="1"/>
  <c r="E1113" i="1"/>
  <c r="B1114" i="1"/>
  <c r="E1114" i="1"/>
  <c r="B1115" i="1"/>
  <c r="E1115" i="1"/>
  <c r="B1116" i="1"/>
  <c r="E1116" i="1"/>
  <c r="B1117" i="1"/>
  <c r="E1117" i="1"/>
  <c r="B1118" i="1"/>
  <c r="E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5" i="1"/>
  <c r="B1176" i="1"/>
  <c r="B1177" i="1"/>
  <c r="B1174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</calcChain>
</file>

<file path=xl/sharedStrings.xml><?xml version="1.0" encoding="utf-8"?>
<sst xmlns="http://schemas.openxmlformats.org/spreadsheetml/2006/main" count="32877" uniqueCount="4536">
  <si>
    <t>Item SKU</t>
  </si>
  <si>
    <t>UPC</t>
  </si>
  <si>
    <t>Product Name</t>
  </si>
  <si>
    <t>Short Description</t>
  </si>
  <si>
    <t>Theme</t>
  </si>
  <si>
    <t>Category</t>
  </si>
  <si>
    <t>Unit Increment</t>
  </si>
  <si>
    <t>Order Minimum</t>
  </si>
  <si>
    <t>Order UOM</t>
  </si>
  <si>
    <t>Wholesale Price</t>
  </si>
  <si>
    <t>Retail Price</t>
  </si>
  <si>
    <t>Sale Price</t>
  </si>
  <si>
    <t>IMAP</t>
  </si>
  <si>
    <t>IMAP Price</t>
  </si>
  <si>
    <t>UMAP</t>
  </si>
  <si>
    <t>UMAP Price</t>
  </si>
  <si>
    <t>UMRP</t>
  </si>
  <si>
    <t>UMRP Price</t>
  </si>
  <si>
    <t>Height</t>
  </si>
  <si>
    <t>Length</t>
  </si>
  <si>
    <t>Width</t>
  </si>
  <si>
    <t>Extends</t>
  </si>
  <si>
    <t>Weight</t>
  </si>
  <si>
    <t>Cartons Per Unit</t>
  </si>
  <si>
    <t>Carton Height</t>
  </si>
  <si>
    <t>Carton Length</t>
  </si>
  <si>
    <t>Carton Width</t>
  </si>
  <si>
    <t>Carton Cubic Feet</t>
  </si>
  <si>
    <t>Gross Weight</t>
  </si>
  <si>
    <t>Voltage</t>
  </si>
  <si>
    <t>Number of Bulbs</t>
  </si>
  <si>
    <t>Type of Bulbs</t>
  </si>
  <si>
    <t>Max Wattage</t>
  </si>
  <si>
    <t>Number of Bulbs2</t>
  </si>
  <si>
    <t>Type of Bulbs2</t>
  </si>
  <si>
    <t>Max_Wattage2</t>
  </si>
  <si>
    <t>Bulb Included</t>
  </si>
  <si>
    <t>Number of Arms</t>
  </si>
  <si>
    <t>CSA</t>
  </si>
  <si>
    <t>ETL</t>
  </si>
  <si>
    <t>UL</t>
  </si>
  <si>
    <t>Shipped Via</t>
  </si>
  <si>
    <t>Status</t>
  </si>
  <si>
    <t>Status Date</t>
  </si>
  <si>
    <t>Master Pack Barcode</t>
  </si>
  <si>
    <t>Ranking</t>
  </si>
  <si>
    <t>Sales Price Info</t>
  </si>
  <si>
    <t>Energy Star</t>
  </si>
  <si>
    <t>Designer</t>
  </si>
  <si>
    <t>Finish</t>
  </si>
  <si>
    <t>Special Features</t>
  </si>
  <si>
    <t>Style</t>
  </si>
  <si>
    <t>Style Category</t>
  </si>
  <si>
    <t>Shade</t>
  </si>
  <si>
    <t>Glass</t>
  </si>
  <si>
    <t>Crystal</t>
  </si>
  <si>
    <t>Long description</t>
  </si>
  <si>
    <t>Image Name</t>
  </si>
  <si>
    <t>Dark Sky</t>
  </si>
  <si>
    <t>ADA</t>
  </si>
  <si>
    <t>Title 24</t>
  </si>
  <si>
    <t>Outdoor Listed</t>
  </si>
  <si>
    <t>Environment Location</t>
  </si>
  <si>
    <t>Install Position</t>
  </si>
  <si>
    <t>Backplate Width</t>
  </si>
  <si>
    <t>Backplate Height</t>
  </si>
  <si>
    <t>Backplate Diameter</t>
  </si>
  <si>
    <t>Backplate Length</t>
  </si>
  <si>
    <t>Canopy Plate Diameter</t>
  </si>
  <si>
    <t>Canopy Plate Height</t>
  </si>
  <si>
    <t>Canopy Plate Length</t>
  </si>
  <si>
    <t>Canopy Plate Width</t>
  </si>
  <si>
    <t>Downrod 1 Length</t>
  </si>
  <si>
    <t>Downrod 2 Length</t>
  </si>
  <si>
    <t>Downrod Width</t>
  </si>
  <si>
    <t>Blade Pitch</t>
  </si>
  <si>
    <t>Light Kit Included</t>
  </si>
  <si>
    <t>Blade Finish</t>
  </si>
  <si>
    <t>Base Item Number 1</t>
  </si>
  <si>
    <t>Finish Category</t>
  </si>
  <si>
    <t>rpm</t>
  </si>
  <si>
    <t>amps</t>
  </si>
  <si>
    <t>watts</t>
  </si>
  <si>
    <t>Hight CFM</t>
  </si>
  <si>
    <t>Color Temp</t>
  </si>
  <si>
    <t>cri</t>
  </si>
  <si>
    <t>Initial Lumens</t>
  </si>
  <si>
    <t>Delivered Lumens</t>
  </si>
  <si>
    <t>Rated Life Hours</t>
  </si>
  <si>
    <t>Dimmable</t>
  </si>
  <si>
    <t>Slope</t>
  </si>
  <si>
    <t>Material</t>
  </si>
  <si>
    <t>Initial Date</t>
  </si>
  <si>
    <t>Last Update</t>
  </si>
  <si>
    <t>2018A</t>
  </si>
  <si>
    <t>GLASS SHADE</t>
  </si>
  <si>
    <t>SHADES (GLASS,ETC.)</t>
  </si>
  <si>
    <t>EA</t>
  </si>
  <si>
    <t>N</t>
  </si>
  <si>
    <t>UPS</t>
  </si>
  <si>
    <t>2018A.JPG</t>
  </si>
  <si>
    <t>2 1/4" OPAL GLASS SHADE</t>
  </si>
  <si>
    <t>A</t>
  </si>
  <si>
    <t>2548.JPG</t>
  </si>
  <si>
    <t>2 1/4" ETCHED MARBLE GLASS SHADE</t>
  </si>
  <si>
    <t>2549.JPG</t>
  </si>
  <si>
    <t>GLASS</t>
  </si>
  <si>
    <t>2 1/4 INCH CLEAR/FROSTED GLASS SHADE</t>
  </si>
  <si>
    <t>2 1/4" GLASS SHADE</t>
  </si>
  <si>
    <t>Traditional</t>
  </si>
  <si>
    <t>2560.JPG</t>
  </si>
  <si>
    <t>2 1/4IN ETCHED SEEDY GLASS SHADE</t>
  </si>
  <si>
    <t>2 1/4" ETCHED SEEDY GLASS SHADE</t>
  </si>
  <si>
    <t>2565.JPG</t>
  </si>
  <si>
    <t>2593-1</t>
  </si>
  <si>
    <t>AGED CHAMPAGNE</t>
  </si>
  <si>
    <t>2593-1.JPG</t>
  </si>
  <si>
    <t>2593-2</t>
  </si>
  <si>
    <t>EXCAVATION</t>
  </si>
  <si>
    <t>2593-2.JPG</t>
  </si>
  <si>
    <t>2593-4</t>
  </si>
  <si>
    <t>VENETIAN SCAVO</t>
  </si>
  <si>
    <t>2593-4.JPG</t>
  </si>
  <si>
    <t>2593-5</t>
  </si>
  <si>
    <t>FRENCH CREAM</t>
  </si>
  <si>
    <t>2593-5.JPG</t>
  </si>
  <si>
    <t>2632.JPG</t>
  </si>
  <si>
    <t>2636.JPG</t>
  </si>
  <si>
    <t xml:space="preserve">2 1/4" LINEN GLASS SHADE </t>
  </si>
  <si>
    <t>2645.JPG</t>
  </si>
  <si>
    <t>2646.JPG</t>
  </si>
  <si>
    <t>ETCHED MARBLE GLASS SHADE</t>
  </si>
  <si>
    <t>2652.JPG</t>
  </si>
  <si>
    <t>A180-BCW</t>
  </si>
  <si>
    <t>LOW CEILING ADAPTER</t>
  </si>
  <si>
    <t>FAN LITE KITS AND ACCESSORIES</t>
  </si>
  <si>
    <t>BELCARO WALNUT</t>
  </si>
  <si>
    <t>A180-BCW.JPG</t>
  </si>
  <si>
    <t>DRY</t>
  </si>
  <si>
    <t>A180</t>
  </si>
  <si>
    <t>A180-BI</t>
  </si>
  <si>
    <t>LOW CEILING ADAPTER IN BLACK IRON</t>
  </si>
  <si>
    <t>BLACK IRON</t>
  </si>
  <si>
    <t>A180-BI.JPG</t>
  </si>
  <si>
    <t>A180-BK</t>
  </si>
  <si>
    <t>LOW CEILING ADAPTER IN BLACK</t>
  </si>
  <si>
    <t>BLACK</t>
  </si>
  <si>
    <t>A180-BK.JPG</t>
  </si>
  <si>
    <t>A180-BN</t>
  </si>
  <si>
    <t>LOW CEILING ADAPTER IN BRUSHED NICKEL</t>
  </si>
  <si>
    <t>BRUSHED NICKEL</t>
  </si>
  <si>
    <t>A180-BN.JPG</t>
  </si>
  <si>
    <t>A180-BNK</t>
  </si>
  <si>
    <t>LOW CEILING ADAPTER IN BURNISHED NICKEL</t>
  </si>
  <si>
    <t>BURNISHED NICKEL</t>
  </si>
  <si>
    <t>A180-BNK.JPG</t>
  </si>
  <si>
    <t>STEEL+ZINC</t>
  </si>
  <si>
    <t>A180-BNW</t>
  </si>
  <si>
    <t>LOW CEILING ADAPTER IN BRUSHED NICKEL WET</t>
  </si>
  <si>
    <t>BRUSHED NICKEL WET</t>
  </si>
  <si>
    <t>A180-BNW.JPG</t>
  </si>
  <si>
    <t>A180-BS</t>
  </si>
  <si>
    <t>LOW CEILING ADAPTER IN BRUSHED STEEL</t>
  </si>
  <si>
    <t>BRUSHED STEEL</t>
  </si>
  <si>
    <t>A180-BS.JPG</t>
  </si>
  <si>
    <t>A180-BWH</t>
  </si>
  <si>
    <t>LOW CEILING ADAPTER IN BONE WHITE</t>
  </si>
  <si>
    <t>BONE WHITE</t>
  </si>
  <si>
    <t>A180-BWH.JPG</t>
  </si>
  <si>
    <t>A180-CC</t>
  </si>
  <si>
    <t>LOW CEILING ADAPTER IN COGNAC</t>
  </si>
  <si>
    <t>COGNAC</t>
  </si>
  <si>
    <t>A180-CC.JPG</t>
  </si>
  <si>
    <t>A180-CH</t>
  </si>
  <si>
    <t>LOW CEILING ADAPTER IN CHROME</t>
  </si>
  <si>
    <t>CHROME</t>
  </si>
  <si>
    <t>A180-CH.JPG</t>
  </si>
  <si>
    <t>A180-CL</t>
  </si>
  <si>
    <t>LOW CEILING ADAPTER IN COAL</t>
  </si>
  <si>
    <t>COAL</t>
  </si>
  <si>
    <t>A180-CL.JPG</t>
  </si>
  <si>
    <t>A180-CPBR</t>
  </si>
  <si>
    <t>LOW CEILING ADAPTER IN COPPER BRONZE</t>
  </si>
  <si>
    <t>COPPER BRONZE</t>
  </si>
  <si>
    <t>A180-CPBR.JPG</t>
  </si>
  <si>
    <t>A180-CT</t>
  </si>
  <si>
    <t>CATTERA BRONZE</t>
  </si>
  <si>
    <t>A180-CT.JPG</t>
  </si>
  <si>
    <t>A180-DBB</t>
  </si>
  <si>
    <t>LOW CEILING ADAPTER IN DARK BRUSHED BRONZE</t>
  </si>
  <si>
    <t>DARK BRUSHED BRONZE</t>
  </si>
  <si>
    <t>A180-DBB.JPG</t>
  </si>
  <si>
    <t>A180-DRB</t>
  </si>
  <si>
    <t>DARK RESTORATION BRONZE</t>
  </si>
  <si>
    <t>A180-DRB.JPG</t>
  </si>
  <si>
    <t>A180-DRFF</t>
  </si>
  <si>
    <t>LOW CEILING ADAPTER WET RATED IN DRIFTWOOD</t>
  </si>
  <si>
    <t>DRIFTWOOD</t>
  </si>
  <si>
    <t>A180-DRFF.JPG</t>
  </si>
  <si>
    <t>A180-FB</t>
  </si>
  <si>
    <t>LOW CEILING ADAPTER IN FRENCH BEIGE</t>
  </si>
  <si>
    <t>FRENCH BEIGE</t>
  </si>
  <si>
    <t>A180-FB.JPG</t>
  </si>
  <si>
    <t>A180-GL</t>
  </si>
  <si>
    <t>LOW CEILING ADAPTER IN GALVANIZED</t>
  </si>
  <si>
    <t>GALVANIZED</t>
  </si>
  <si>
    <t>A180-GL.JPG</t>
  </si>
  <si>
    <t>A180-HBZ</t>
  </si>
  <si>
    <t>LOW CEILING ADAPTER IN HEIRLOOM BRONZE</t>
  </si>
  <si>
    <t>HEIRLOOM BRONZE</t>
  </si>
  <si>
    <t>A180-HBZ.JPG</t>
  </si>
  <si>
    <t>A180-HT</t>
  </si>
  <si>
    <t>HERITAGE</t>
  </si>
  <si>
    <t>A180-HT.JPG</t>
  </si>
  <si>
    <t>A180-IBR</t>
  </si>
  <si>
    <t>ILLUMINATI BRONZE</t>
  </si>
  <si>
    <t>A180-IBR.JPG</t>
  </si>
  <si>
    <t>A180-KA</t>
  </si>
  <si>
    <t>LOW CEILING ADAPTER IN KOCOA</t>
  </si>
  <si>
    <t>KOCOA</t>
  </si>
  <si>
    <t>A180-KA.JPG</t>
  </si>
  <si>
    <t>A180-LN</t>
  </si>
  <si>
    <t>LOW CEILING ADAPTER IN LIQUID NICKEL</t>
  </si>
  <si>
    <t>LIQUID NICKEL</t>
  </si>
  <si>
    <t>A180-LN.JPG</t>
  </si>
  <si>
    <t>A180-MCG</t>
  </si>
  <si>
    <t>LOW CEILING ADAPTER IN MOTTLED COPPER WITH GOLD HIGHLIGHT</t>
  </si>
  <si>
    <t>MOTTLED COPPER W/ GOLD HIGHLIGHTS</t>
  </si>
  <si>
    <t>A180-MCG.JPG</t>
  </si>
  <si>
    <t>A180-MG</t>
  </si>
  <si>
    <t>LOW CEILING ADAPTER IN MAHOGANY</t>
  </si>
  <si>
    <t>MAHOGANY</t>
  </si>
  <si>
    <t>A180-MG.JPG</t>
  </si>
  <si>
    <t>A180-MP</t>
  </si>
  <si>
    <t>LOW CEILING ADAPTER IN MAPLE</t>
  </si>
  <si>
    <t>MAPLE</t>
  </si>
  <si>
    <t>A180-MP.JPG</t>
  </si>
  <si>
    <t>A180-MW</t>
  </si>
  <si>
    <t>MOSSORO WALNUT</t>
  </si>
  <si>
    <t>A180-MW.JPG</t>
  </si>
  <si>
    <t>A180-ODK</t>
  </si>
  <si>
    <t>LOW CEILING ADAPTER WET RATED IN DISTRESSED KOA</t>
  </si>
  <si>
    <t>A180-ODK.JPG</t>
  </si>
  <si>
    <t>A180-ORB</t>
  </si>
  <si>
    <t>LOW CEILING ADAPTER IN OIL RUBBED BRONZE</t>
  </si>
  <si>
    <t>OIL RUBBED BRONZE</t>
  </si>
  <si>
    <t>A180-ORB.JPG</t>
  </si>
  <si>
    <t>A180-PBL</t>
  </si>
  <si>
    <t>LOW CEILING ADAPTER IN PROVENCAL BLANC</t>
  </si>
  <si>
    <t>PROVENCAL BLANC</t>
  </si>
  <si>
    <t>A180-PBL.JPG</t>
  </si>
  <si>
    <t>A180-PI</t>
  </si>
  <si>
    <t>LOW CEILING ADAPTER IN PATINA IRON</t>
  </si>
  <si>
    <t>PATINA IRON</t>
  </si>
  <si>
    <t>A180-PI.JPG</t>
  </si>
  <si>
    <t>A180-PN</t>
  </si>
  <si>
    <t>LOW CEILING ADAPTER IN POLISHED NICKEL</t>
  </si>
  <si>
    <t>POLISHED NICKEL</t>
  </si>
  <si>
    <t>A180-PN.JPG</t>
  </si>
  <si>
    <t>A180-PW</t>
  </si>
  <si>
    <t>LOW CEILING ADAPTER IN PEWTER</t>
  </si>
  <si>
    <t>PEWTER</t>
  </si>
  <si>
    <t>A180-PW.JPG</t>
  </si>
  <si>
    <t>A180-RD</t>
  </si>
  <si>
    <t>LOW CEILING ADAPTER IN RED</t>
  </si>
  <si>
    <t>RED</t>
  </si>
  <si>
    <t>A180-RD.JPG</t>
  </si>
  <si>
    <t>A180-SI</t>
  </si>
  <si>
    <t>LOW CEILING ADAPTER IN SMOKED IRON</t>
  </si>
  <si>
    <t>SMOKED IRON</t>
  </si>
  <si>
    <t>A180-SI.JPG</t>
  </si>
  <si>
    <t>A180-STW/GOW</t>
  </si>
  <si>
    <t>LOW CEILING ADAPTER IN STERLING AND GOLDEN WALNUT</t>
  </si>
  <si>
    <t>STERLING WALNUT/GOLDEN WALNUT</t>
  </si>
  <si>
    <t>A180-STW-GOW.JPG</t>
  </si>
  <si>
    <t>A180-SWH</t>
  </si>
  <si>
    <t>LOW CEILING ADAPTER IN SHELL WHITE</t>
  </si>
  <si>
    <t>SHELL WHITE</t>
  </si>
  <si>
    <t>A180-SWH.JPG</t>
  </si>
  <si>
    <t>A180-TCL</t>
  </si>
  <si>
    <t>LOW CEILING ADAPTER IN TEXTURED COAL</t>
  </si>
  <si>
    <t>TEXTURED COAL</t>
  </si>
  <si>
    <t>A180-TCL.JPG</t>
  </si>
  <si>
    <t>A180-TSP</t>
  </si>
  <si>
    <t>TUSCAN PATINA</t>
  </si>
  <si>
    <t>A180-TSP.JPG</t>
  </si>
  <si>
    <t>A180-TWW</t>
  </si>
  <si>
    <t>LOW CEILING ADAPTOR</t>
  </si>
  <si>
    <t>LOW CEILING ADAPTER IN TEXTURED WHITE</t>
  </si>
  <si>
    <t>TEXTURED WHITE</t>
  </si>
  <si>
    <t>A180-TWW.JPG</t>
  </si>
  <si>
    <t>Y</t>
  </si>
  <si>
    <t>WET</t>
  </si>
  <si>
    <t>A180-VP</t>
  </si>
  <si>
    <t>LOW CEILING ADAPTER IN VINEYARD PATINA</t>
  </si>
  <si>
    <t>VINEYARD PATINA</t>
  </si>
  <si>
    <t>A180-VP.JPG</t>
  </si>
  <si>
    <t>A180-VRT</t>
  </si>
  <si>
    <t>VINTAGE RUST</t>
  </si>
  <si>
    <t>A180-VRT.JPG</t>
  </si>
  <si>
    <t>A180-WH</t>
  </si>
  <si>
    <t>LOW CEILING ADAPTER IN WHITE</t>
  </si>
  <si>
    <t>WHITE</t>
  </si>
  <si>
    <t>A180-WH.JPG</t>
  </si>
  <si>
    <t>A180-WHF</t>
  </si>
  <si>
    <t>LOW CEILING ADAPTER IN FLAT WHITE</t>
  </si>
  <si>
    <t>FLAT WHITE</t>
  </si>
  <si>
    <t>A180-WHF.JPG</t>
  </si>
  <si>
    <t>A245-ABDD</t>
  </si>
  <si>
    <t>45 SLOPE CEILING ADAPTER KIT</t>
  </si>
  <si>
    <t>45 DEGREE SLOPE CEILING ADAPTER IN BRUSHED ALUMINUM</t>
  </si>
  <si>
    <t>BRUSHED ALUMINUM</t>
  </si>
  <si>
    <t>A245-ABDD.JPG</t>
  </si>
  <si>
    <t>A245-BCW</t>
  </si>
  <si>
    <t>A245-BCW.JPG</t>
  </si>
  <si>
    <t>A245</t>
  </si>
  <si>
    <t>A245-BG</t>
  </si>
  <si>
    <t>BAHAMA BEIGE</t>
  </si>
  <si>
    <t>A245-BG.JPG</t>
  </si>
  <si>
    <t>A245-BI</t>
  </si>
  <si>
    <t>45 DEGREE SLOPE CEILING ADAPTER IN BLACK IRON</t>
  </si>
  <si>
    <t>A245-BI.JPG</t>
  </si>
  <si>
    <t>A245-BK</t>
  </si>
  <si>
    <t>45 DEGREE SLOPE CEILING ADAPTER IN BLACK</t>
  </si>
  <si>
    <t>A245-BK.JPG</t>
  </si>
  <si>
    <t>A245-BN</t>
  </si>
  <si>
    <t>45 DEGREE SLOPE CEILING ADAPTER IN BRUSHED NICKEL</t>
  </si>
  <si>
    <t>A245-BN.JPG</t>
  </si>
  <si>
    <t>A245-BNK</t>
  </si>
  <si>
    <t>45 DEGREE SLOPE CEILING ADAPTER IN BURNISHED NICKEL</t>
  </si>
  <si>
    <t>A245-BNK.JPG</t>
  </si>
  <si>
    <t>A245-BNW</t>
  </si>
  <si>
    <t>45 DEGREE SLOPE CEILING ADAPTER WET RATED IN BRUSHED NICKEL WET</t>
  </si>
  <si>
    <t>A245-BNW.JPG</t>
  </si>
  <si>
    <t>A245-BS</t>
  </si>
  <si>
    <t>45 DEGREE SLOPE CEILING ADAPTER IN BRUSHED STEEL</t>
  </si>
  <si>
    <t>A245-BS.JPG</t>
  </si>
  <si>
    <t>A245-BWH</t>
  </si>
  <si>
    <t>45 DEGREE SLOPE CEILING ADAPTER IN BONE WHITE</t>
  </si>
  <si>
    <t>A245-BWH.JPG</t>
  </si>
  <si>
    <t>A245-CC</t>
  </si>
  <si>
    <t>45 DEGREE SLOPE CEILING ADAPTER IN COGNAC</t>
  </si>
  <si>
    <t>A245-CC.JPG</t>
  </si>
  <si>
    <t>A245-CH</t>
  </si>
  <si>
    <t>45 DEGREE SLOPE CEILING ADAPTER IN CHROME</t>
  </si>
  <si>
    <t>A245-CH.JPG</t>
  </si>
  <si>
    <t>A245-CL</t>
  </si>
  <si>
    <t>45 DEGREE SLOPE CEILING ADAPTER IN COAL</t>
  </si>
  <si>
    <t>A245-CL.JPG</t>
  </si>
  <si>
    <t>STEEL</t>
  </si>
  <si>
    <t>A245-CPBR</t>
  </si>
  <si>
    <t>45 DEGREE SLOPE CEILING ADAPTER IN COPPER BRONZE</t>
  </si>
  <si>
    <t>A245-CPBR.JPG</t>
  </si>
  <si>
    <t>A245-CT</t>
  </si>
  <si>
    <t>A245-CT.JPG</t>
  </si>
  <si>
    <t>A245-DBB</t>
  </si>
  <si>
    <t>45 DEGREE SLOPE CEILING ADAPTER IN DARK BRUSHED BRONZE</t>
  </si>
  <si>
    <t>A245-DBB.JPG</t>
  </si>
  <si>
    <t>A245-DRB</t>
  </si>
  <si>
    <t>A245-DRB.JPG</t>
  </si>
  <si>
    <t>A245-DRFF</t>
  </si>
  <si>
    <t>45 DEGREE SLOPE CEILING ADAPTER WET RATED IN DRIFTWOOD</t>
  </si>
  <si>
    <t>A245-DRFF.JPG</t>
  </si>
  <si>
    <t>A245-FB</t>
  </si>
  <si>
    <t>45 DEGREE SLOPE CEILING ADAPTER IN FRENCH BEIGE</t>
  </si>
  <si>
    <t>A245-FB.JPG</t>
  </si>
  <si>
    <t>A245-GL</t>
  </si>
  <si>
    <t>45 DEGREE SLOPE CEILING ADAPTER IN GALVANIZED</t>
  </si>
  <si>
    <t>A245-GL.JPG</t>
  </si>
  <si>
    <t>A245-GM</t>
  </si>
  <si>
    <t>45 DEGREE SLOPE CEILING ADAPTER IN GUN METAL</t>
  </si>
  <si>
    <t>GUN METAL</t>
  </si>
  <si>
    <t>A245-GM.JPG</t>
  </si>
  <si>
    <t>A245-HBZ</t>
  </si>
  <si>
    <t>45 DEGREE SLOPE CEILING ADAPTER IN HEIRLOOM BRONZE</t>
  </si>
  <si>
    <t>A245-HBZ.JPG</t>
  </si>
  <si>
    <t>A245-HT</t>
  </si>
  <si>
    <t>A245-HT.JPG</t>
  </si>
  <si>
    <t>A245-IBR</t>
  </si>
  <si>
    <t>A245-IBR.JPG</t>
  </si>
  <si>
    <t>A245-IO</t>
  </si>
  <si>
    <t>45 DEGREE SLOPE CEILING ADAPTER IN IRON OXIDE</t>
  </si>
  <si>
    <t>IRON OXIDE</t>
  </si>
  <si>
    <t>A245-IO.JPG</t>
  </si>
  <si>
    <t>A245-KA</t>
  </si>
  <si>
    <t>45 DEGREE SLOPE CEILING ADAPTER IN KOCOA</t>
  </si>
  <si>
    <t>A245-KA.JPG</t>
  </si>
  <si>
    <t>STEEL + ZINC</t>
  </si>
  <si>
    <t>A245-LN</t>
  </si>
  <si>
    <t>45 DEGREE SLOPE CEILING ADAPTER IN LIQUID NICKEL</t>
  </si>
  <si>
    <t>A245-LN.JPG</t>
  </si>
  <si>
    <t>A245-MCG</t>
  </si>
  <si>
    <t>45 DEGREE SLOPE CEILING ADAPTER IN MOTTLED COPPER WITH GOLD HIGHLIGHT</t>
  </si>
  <si>
    <t>A245-MCG.JPG</t>
  </si>
  <si>
    <t>A245-MG</t>
  </si>
  <si>
    <t>45 DEGREE SLOPE CEILING ADAPTER IN MAHOGANY</t>
  </si>
  <si>
    <t>A245-MG.JPG</t>
  </si>
  <si>
    <t>A245-MP</t>
  </si>
  <si>
    <t>45 DEGREE SLOPE CEILING ADAPTER IN MAPLE</t>
  </si>
  <si>
    <t>A245-MP.JPG</t>
  </si>
  <si>
    <t>A245-MW</t>
  </si>
  <si>
    <t>A245-MW.JPG</t>
  </si>
  <si>
    <t>A245-ODK</t>
  </si>
  <si>
    <t>45 DEGREE SLOPE CEILING ADAPTER WET RATED IN DISTRESSED KOA</t>
  </si>
  <si>
    <t>DISTRESS KOA/OUTDOOR</t>
  </si>
  <si>
    <t>A245-ODK.JPG</t>
  </si>
  <si>
    <t>A245-ORB</t>
  </si>
  <si>
    <t>45 DEGREE SLOPE CEILING ADAPTER IN OIL RUBBED BRONZE</t>
  </si>
  <si>
    <t>A245-ORB.JPG</t>
  </si>
  <si>
    <t>A245-PBL</t>
  </si>
  <si>
    <t>45 DEGREE SLOPE CEILING ADAPTER IN PROVENCAL BLANC</t>
  </si>
  <si>
    <t>A245-PBL.JPG</t>
  </si>
  <si>
    <t>A245-PI</t>
  </si>
  <si>
    <t>45 DEGREE SLOPE CEILING ADAPTER IN PATINA IRON</t>
  </si>
  <si>
    <t>A245-PI.JPG</t>
  </si>
  <si>
    <t>A245-PN</t>
  </si>
  <si>
    <t>45 DEGREE SLOPE CEILING ADAPTER IN POLISHED NICKEL</t>
  </si>
  <si>
    <t>A245-PN.JPG</t>
  </si>
  <si>
    <t>STEELL+ZINC</t>
  </si>
  <si>
    <t>A245-PW</t>
  </si>
  <si>
    <t>45 DEGREE SLOPE CEILING ADAPTER IN PEWTER</t>
  </si>
  <si>
    <t>A245-PW.JPG</t>
  </si>
  <si>
    <t>A245-RD</t>
  </si>
  <si>
    <t>45 DEGREE SLOPE CEILING ADAPTER IN RED</t>
  </si>
  <si>
    <t>A245-RD.JPG</t>
  </si>
  <si>
    <t>A245-RRB</t>
  </si>
  <si>
    <t>RESTORATION BRONZE</t>
  </si>
  <si>
    <t>A245-RRB.JPG</t>
  </si>
  <si>
    <t>A245-RW</t>
  </si>
  <si>
    <t>45 DEGREE SLOPE CEILING ADAPTER IN ROSEWOOD</t>
  </si>
  <si>
    <t>ROSEWOOD</t>
  </si>
  <si>
    <t>A245-RW.JPG</t>
  </si>
  <si>
    <t>A245-SDBK</t>
  </si>
  <si>
    <t>45 DEGREE SLOPE CEILING ADAPTER IN SAND BLACK</t>
  </si>
  <si>
    <t>SAND BLACK</t>
  </si>
  <si>
    <t>A245-SDBK.JPG</t>
  </si>
  <si>
    <t>A245-SI</t>
  </si>
  <si>
    <t>45 DEGREE SLOPE CEILING ADAPTER IN SMOKED IRON</t>
  </si>
  <si>
    <t>A245-SI.JPG</t>
  </si>
  <si>
    <t>A245-SL</t>
  </si>
  <si>
    <t>45 DEGREE SLOPE CEILING ADAPTER IN SILVER</t>
  </si>
  <si>
    <t>SILVER</t>
  </si>
  <si>
    <t>A245-SL.JPG</t>
  </si>
  <si>
    <t>A245-STW/GOW</t>
  </si>
  <si>
    <t>45 DEGREE SLOPE CEILING ADAPTER IN STERLING AND GOLDEN WALNUT</t>
  </si>
  <si>
    <t>A245-STW-GOW.JPG</t>
  </si>
  <si>
    <t>A245-SWH</t>
  </si>
  <si>
    <t>45 DEGREE SLOPE CEILING ADAPTER IN SHELL WHITE</t>
  </si>
  <si>
    <t>A245-SWH.JPG</t>
  </si>
  <si>
    <t>A245-TCL</t>
  </si>
  <si>
    <t>45 DEGREE SLOPE CEILING ADAPTER IN TEXTURED COAL</t>
  </si>
  <si>
    <t>A245-TCL.JPG</t>
  </si>
  <si>
    <t>A245-TSP</t>
  </si>
  <si>
    <t>A245-TSP.JPG</t>
  </si>
  <si>
    <t>A245-TWW</t>
  </si>
  <si>
    <t>45 DEGREE SLOPE CEILING ADAPTER IN TEXTURED WHITE</t>
  </si>
  <si>
    <t>A245-TWW.JPG</t>
  </si>
  <si>
    <t>A245-VB</t>
  </si>
  <si>
    <t>VOLTERRA BRONZE</t>
  </si>
  <si>
    <t>A245-VB.JPG</t>
  </si>
  <si>
    <t>A245-VP</t>
  </si>
  <si>
    <t>45 DEGREE SLOPE CEILING ADAPTER IN VINEYARD PATINA</t>
  </si>
  <si>
    <t>A245-VP.JPG</t>
  </si>
  <si>
    <t>A245-VRT</t>
  </si>
  <si>
    <t>A245-VRT.JPG</t>
  </si>
  <si>
    <t>A245-WH</t>
  </si>
  <si>
    <t>45 DEGREE SLOPE CEILING ADAPTER IN WHITE</t>
  </si>
  <si>
    <t>A245-WH.JPG</t>
  </si>
  <si>
    <t>A245-WHF</t>
  </si>
  <si>
    <t>45 DEGREE SLOPE CEILING ADAPTER IN FLAT WHITE</t>
  </si>
  <si>
    <t>A245-WHF.JPG</t>
  </si>
  <si>
    <t>A581-BG</t>
  </si>
  <si>
    <t>LOW CEILING ADAPTER FOR F581 ONLY</t>
  </si>
  <si>
    <t>A581-BG.JPG</t>
  </si>
  <si>
    <t>A581-ORB</t>
  </si>
  <si>
    <t>A581-ORB.JPG</t>
  </si>
  <si>
    <t>F</t>
  </si>
  <si>
    <t>A581-WHF</t>
  </si>
  <si>
    <t>LOW CEILING ADAPTER FLAT WHITE</t>
  </si>
  <si>
    <t>A581-WHF.JPG</t>
  </si>
  <si>
    <t>AC100</t>
  </si>
  <si>
    <t>CEILING FAN LIGHT KIT PARTS</t>
  </si>
  <si>
    <t>GLASS CAP AND FINIAL F548/K9548</t>
  </si>
  <si>
    <t>AC100.JPG</t>
  </si>
  <si>
    <t>AC100-BCW</t>
  </si>
  <si>
    <t>NOT APPLICABLE</t>
  </si>
  <si>
    <t>AC100-BCW.JPG</t>
  </si>
  <si>
    <t>AC100-BS</t>
  </si>
  <si>
    <t>CAP AND FINIAL IN BRUSHED STEEL</t>
  </si>
  <si>
    <t>AC100-BS.JPG</t>
  </si>
  <si>
    <t>AC100-BWH</t>
  </si>
  <si>
    <t>CAP AND FINIAL IN BONE WHITE</t>
  </si>
  <si>
    <t>AC100-BWH.JPG</t>
  </si>
  <si>
    <t>AC100-CT</t>
  </si>
  <si>
    <t>AC100-CT.JPG</t>
  </si>
  <si>
    <t>AC100-DBB</t>
  </si>
  <si>
    <t>CAP AND FINIAL IN DARK BRUSHED BRONZE</t>
  </si>
  <si>
    <t>AC100-DBB.JPG</t>
  </si>
  <si>
    <t>AC100-EX</t>
  </si>
  <si>
    <t>CAP AND FINIAL</t>
  </si>
  <si>
    <t>AC100-EX.JPG</t>
  </si>
  <si>
    <t>AC100-FB</t>
  </si>
  <si>
    <t>CAP AND FINIAL IN FRENCH BEIGE</t>
  </si>
  <si>
    <t>AC100-FB.JPG</t>
  </si>
  <si>
    <t>AC100-KA</t>
  </si>
  <si>
    <t>CAP AND FINIAL IN KOCOA</t>
  </si>
  <si>
    <t>AC100-KA.JPG</t>
  </si>
  <si>
    <t>AC100-MCG</t>
  </si>
  <si>
    <t>CAP AND FINIAL IN MOTTLED COPPER WITH GOLD HIGHLIGHT</t>
  </si>
  <si>
    <t>AC100-MCG.JPG</t>
  </si>
  <si>
    <t>AC100-ORB</t>
  </si>
  <si>
    <t>CAP AND FINIAL IN OIL RUBBED BRONZE</t>
  </si>
  <si>
    <t>AC100-ORB.JPG</t>
  </si>
  <si>
    <t>AC100-PBL</t>
  </si>
  <si>
    <t>CAP AND FINIAL IN PROVENCAL BLANC</t>
  </si>
  <si>
    <t>AC100-PBL.JPG</t>
  </si>
  <si>
    <t>AC100-PI</t>
  </si>
  <si>
    <t>CAP AND FINIAL IN PATINA IRON</t>
  </si>
  <si>
    <t>AC100-PI.JPG</t>
  </si>
  <si>
    <t>AC100-PW</t>
  </si>
  <si>
    <t>CAP AND FINIAL IN PEWTER</t>
  </si>
  <si>
    <t>AC100-PW.JPG</t>
  </si>
  <si>
    <t>AC100-STW/GOW</t>
  </si>
  <si>
    <t>CAP AND FINIAL IN STERLING AND GOLDEN WALNUT</t>
  </si>
  <si>
    <t>AC100-STW-GOW.JPG</t>
  </si>
  <si>
    <t>AC100-SWH</t>
  </si>
  <si>
    <t>CAP AND FINIAL IN SHELL WHITE</t>
  </si>
  <si>
    <t>AC100-SWH.JPG</t>
  </si>
  <si>
    <t>AC100-VRT</t>
  </si>
  <si>
    <t>AC100-VRT.JPG</t>
  </si>
  <si>
    <t>BD-1000</t>
  </si>
  <si>
    <t>BOND SMART HOME</t>
  </si>
  <si>
    <t>BOND - MINKA AIRE SMART CONTROL</t>
  </si>
  <si>
    <t>BOND</t>
  </si>
  <si>
    <t>ACCESSORIES WALL/REMOTE CONTROL</t>
  </si>
  <si>
    <t>Transitional</t>
  </si>
  <si>
    <t>BD-1000.JPG</t>
  </si>
  <si>
    <t>BD1000</t>
  </si>
  <si>
    <t>CM7022-STW</t>
  </si>
  <si>
    <t>CEILING FAN MEDALLION</t>
  </si>
  <si>
    <t>NAPOLI</t>
  </si>
  <si>
    <t>STERLING WALNUT</t>
  </si>
  <si>
    <t>CM7022-STW.JPG</t>
  </si>
  <si>
    <t>CM7022</t>
  </si>
  <si>
    <t>PU FOAM</t>
  </si>
  <si>
    <t>CM7038-STW</t>
  </si>
  <si>
    <t>CM7038-STW.JPG</t>
  </si>
  <si>
    <t>CM7038</t>
  </si>
  <si>
    <t>DC01044001</t>
  </si>
  <si>
    <t>MOTOR RECEIVER</t>
  </si>
  <si>
    <t>RECEIVER FOR F888</t>
  </si>
  <si>
    <t>REPLACEMENT GLASS, PARTS</t>
  </si>
  <si>
    <t>DC01044001.JPG</t>
  </si>
  <si>
    <t>ABS</t>
  </si>
  <si>
    <t>DC01044002</t>
  </si>
  <si>
    <t>RECEIVER - DC</t>
  </si>
  <si>
    <t>RECEIVER FOR F889</t>
  </si>
  <si>
    <t>DC01044002.JPG</t>
  </si>
  <si>
    <t>DC01045000</t>
  </si>
  <si>
    <t>RECEIVER FOR F905</t>
  </si>
  <si>
    <t>GREY</t>
  </si>
  <si>
    <t>DC01045000.JPG</t>
  </si>
  <si>
    <t>DC010</t>
  </si>
  <si>
    <t>DC01046000</t>
  </si>
  <si>
    <t>RECEIVER FOR F853</t>
  </si>
  <si>
    <t>DC01046000.JPG</t>
  </si>
  <si>
    <t>DC01046002</t>
  </si>
  <si>
    <t>RECEIVER FOR F745</t>
  </si>
  <si>
    <t>DC01046002.JPG</t>
  </si>
  <si>
    <t>DC01046003</t>
  </si>
  <si>
    <t>RECEIVER FOR F889L</t>
  </si>
  <si>
    <t>RECEIVER FOR F899</t>
  </si>
  <si>
    <t>DC01046003.JPG</t>
  </si>
  <si>
    <t>AS</t>
  </si>
  <si>
    <t>DC01046004</t>
  </si>
  <si>
    <t>RECEIVER FOR F787</t>
  </si>
  <si>
    <t>DC01046004.JPG</t>
  </si>
  <si>
    <t>DC01046006</t>
  </si>
  <si>
    <t>RECEIVER FOR F838L</t>
  </si>
  <si>
    <t>DC01046006.JPG</t>
  </si>
  <si>
    <t>DC01047000</t>
  </si>
  <si>
    <t>DC MOTOR RECEIVER</t>
  </si>
  <si>
    <t>RECEIVER FOR F887</t>
  </si>
  <si>
    <t>DC01047000.JPG</t>
  </si>
  <si>
    <t>DC01049003</t>
  </si>
  <si>
    <t>RECEIVER FOR F617L</t>
  </si>
  <si>
    <t>DC01049003.JPG</t>
  </si>
  <si>
    <t>DL01044009</t>
  </si>
  <si>
    <t>RECEIVER FOR F736L</t>
  </si>
  <si>
    <t>DL01044009.JPG</t>
  </si>
  <si>
    <t>DL01044010</t>
  </si>
  <si>
    <t>RECEIVER</t>
  </si>
  <si>
    <t>RECEIVER FOR F849L</t>
  </si>
  <si>
    <t>DL01044010.JPG</t>
  </si>
  <si>
    <t>abs</t>
  </si>
  <si>
    <t>DL01044011</t>
  </si>
  <si>
    <t>DC CANOPY RECIEVER FOR F788L LED</t>
  </si>
  <si>
    <t>RECEIVER FOR F788L</t>
  </si>
  <si>
    <t>DL01044011.JPG</t>
  </si>
  <si>
    <t>DL01044012</t>
  </si>
  <si>
    <t>RECEIVER FOR F902L</t>
  </si>
  <si>
    <t>DL01044012.JPG</t>
  </si>
  <si>
    <t>DL01044013</t>
  </si>
  <si>
    <t>DC MOTOR RECEIVER FOR F410L</t>
  </si>
  <si>
    <t>RECEIVER FOR F410L</t>
  </si>
  <si>
    <t>DL01044013.JPG</t>
  </si>
  <si>
    <t>DL01044014</t>
  </si>
  <si>
    <t>RECEIVER FOR F888L</t>
  </si>
  <si>
    <t>DL01044014.JPG</t>
  </si>
  <si>
    <t>DL01045000</t>
  </si>
  <si>
    <t>RECEIVER FOR F905L</t>
  </si>
  <si>
    <t>DL01045000.JPG</t>
  </si>
  <si>
    <t>DL01049000</t>
  </si>
  <si>
    <t>RECEIVER FOR F852L</t>
  </si>
  <si>
    <t>DL01049000.JPG</t>
  </si>
  <si>
    <t>DL01051000</t>
  </si>
  <si>
    <t>DC MOTOR RECEIVER FOR F896-84</t>
  </si>
  <si>
    <t>RECEIVER FOR F896-84</t>
  </si>
  <si>
    <t>DL01051000.JPG</t>
  </si>
  <si>
    <t>DL01052000</t>
  </si>
  <si>
    <t>DC MOTOR RECEIVER FOR F896-65</t>
  </si>
  <si>
    <t>RECEIVER FOR F896-65</t>
  </si>
  <si>
    <t>DL01052000.JPG</t>
  </si>
  <si>
    <t>DL06-BN</t>
  </si>
  <si>
    <t>CEILING FAN DOWNLINK KIT</t>
  </si>
  <si>
    <t>6" DOWNLINK FOR F531 IN BRUSHED NICKEL</t>
  </si>
  <si>
    <t>DL06-BN.JPG</t>
  </si>
  <si>
    <t>DL06</t>
  </si>
  <si>
    <t>DL06-BN/MG</t>
  </si>
  <si>
    <t>6" DOWNLINK FOR F531 IN BRUSHED NICKEL WITH MAHOGANY</t>
  </si>
  <si>
    <t>BRUSHED NICKEL W/ MAHOGANY</t>
  </si>
  <si>
    <t>DL06-BN-MG.JPG</t>
  </si>
  <si>
    <t>DL06-WH</t>
  </si>
  <si>
    <t>6" DOWNLINK FOR F531 IN WHITE</t>
  </si>
  <si>
    <t>DL06-WH.JPG</t>
  </si>
  <si>
    <t>DL15-BN</t>
  </si>
  <si>
    <t>15" DOWNLINK FOR F531 IN BRUSHED NICKEL</t>
  </si>
  <si>
    <t>DL15-BN.JPG</t>
  </si>
  <si>
    <t>DL15</t>
  </si>
  <si>
    <t>DL15-BN/MG</t>
  </si>
  <si>
    <t>15" DOWNLINK FOR F531 IN BRUSHED NICKEL WITH MAHOGANY</t>
  </si>
  <si>
    <t>DL15-BN-MG.JPG</t>
  </si>
  <si>
    <t>DL15-WH</t>
  </si>
  <si>
    <t>15" DOWNLINK FOR F531 IN WHITE</t>
  </si>
  <si>
    <t>DL15-WH.JPG</t>
  </si>
  <si>
    <t>DL27-BN</t>
  </si>
  <si>
    <t>27" DOWNLINK FOR F531 IN BRUSHED NICKEL</t>
  </si>
  <si>
    <t>DL27-BN.JPG</t>
  </si>
  <si>
    <t>DL27</t>
  </si>
  <si>
    <t>DL27-BN/MG</t>
  </si>
  <si>
    <t>27" DOWNLINK FOR F531 IN BRUSHED NICKEL WITH MAHOGANY</t>
  </si>
  <si>
    <t>DL27-BN-MG.JPG</t>
  </si>
  <si>
    <t>DL27-WH</t>
  </si>
  <si>
    <t>27" DOWNLINK FOR F531 IN WHITE</t>
  </si>
  <si>
    <t>DL27-WH.JPG</t>
  </si>
  <si>
    <t>DL39-BN</t>
  </si>
  <si>
    <t>39" DOWNLINK FOR F531 IN BRUSHED NICKEL</t>
  </si>
  <si>
    <t>DL39-BN.JPG</t>
  </si>
  <si>
    <t>DL39</t>
  </si>
  <si>
    <t>DL39-BN/MG</t>
  </si>
  <si>
    <t>39" DOWNLINK FOR F531 IN BRUSHED NICKEL WITH MAHOGANY</t>
  </si>
  <si>
    <t>DL39-BN-MG.JPG</t>
  </si>
  <si>
    <t>DL39-WH</t>
  </si>
  <si>
    <t>39" DOWNLINK FOR F531 IN WHITE</t>
  </si>
  <si>
    <t>DL39-WH.JPG</t>
  </si>
  <si>
    <t>DL51-BN</t>
  </si>
  <si>
    <t>51" DOWNLINK FOR F531 IN BRUSHED NICKEL</t>
  </si>
  <si>
    <t>DL51-BN.JPG</t>
  </si>
  <si>
    <t>DL51</t>
  </si>
  <si>
    <t>DL51-BN/MG</t>
  </si>
  <si>
    <t>51" DOWNLINK FOR F531 IN BRUSHED NICKEL WITH MAHOGANY</t>
  </si>
  <si>
    <t>DL51-BN-MG.JPG</t>
  </si>
  <si>
    <t>DL51-WH</t>
  </si>
  <si>
    <t>51" DOWNLINK FOR F531 IN WHITE</t>
  </si>
  <si>
    <t>DL51-WH.JPG</t>
  </si>
  <si>
    <t>DL63-BN</t>
  </si>
  <si>
    <t>63" DOWNLINK FOR F531 IN BRUSHED NICKEL</t>
  </si>
  <si>
    <t>DL63-BN.JPG</t>
  </si>
  <si>
    <t>DL63</t>
  </si>
  <si>
    <t>DL63-BN/MG</t>
  </si>
  <si>
    <t>63" DOWNLINK FOR F531 IN BRUSHED NICKEL WITH MAHOGANY</t>
  </si>
  <si>
    <t>DL63-BN-MG.JPG</t>
  </si>
  <si>
    <t>DL63-WH</t>
  </si>
  <si>
    <t>63" DOWNLINK FOR F531 IN WHITE</t>
  </si>
  <si>
    <t>DL63-WH.JPG</t>
  </si>
  <si>
    <t>DL75-BN</t>
  </si>
  <si>
    <t>75" DOWNLINK FOR F531 IN BRUSHED NICKEL</t>
  </si>
  <si>
    <t>DL75-BN.JPG</t>
  </si>
  <si>
    <t>DL75</t>
  </si>
  <si>
    <t>DL75-BN/MG</t>
  </si>
  <si>
    <t>75" DOWNLINK FOR F531 IN BRUSHED NICKEL WITH MAHOGANY</t>
  </si>
  <si>
    <t>DL75-BN-MG.JPG</t>
  </si>
  <si>
    <t>DL75-WH</t>
  </si>
  <si>
    <t>75" DOWNLINK FOR F531 IN WHITE</t>
  </si>
  <si>
    <t>DL75-WH.JPG</t>
  </si>
  <si>
    <t>DR1512-BN</t>
  </si>
  <si>
    <t>CEILING FAN DOWNROD WITH WIRE AND CONNECTOR</t>
  </si>
  <si>
    <t>12" DOWN ROD WITH WIRE AND CONNECTOR FOR F738/739L ONLY IN BRUSHED NICKEL</t>
  </si>
  <si>
    <t>DR1512-BN.JPG</t>
  </si>
  <si>
    <t>DR1512</t>
  </si>
  <si>
    <t>ALUMINUM</t>
  </si>
  <si>
    <t>DR1512-DK</t>
  </si>
  <si>
    <t>12" DOWN ROD WITH WIRE AND CONNECTOR FOR F738/739L ONLY IN DISTRESSED KOA</t>
  </si>
  <si>
    <t>DISTRESSED KOA</t>
  </si>
  <si>
    <t>DR1512-DK.JPG</t>
  </si>
  <si>
    <t>DR1512-ORB</t>
  </si>
  <si>
    <t xml:space="preserve">CEILING FAN DOWNROD WITH WIRE AND CONNECTOR </t>
  </si>
  <si>
    <t>12" DOWN ROD WITH WIRE AND CONNECTOR FOR F738/739L ONLY IN OIL RUBBED BRONZE</t>
  </si>
  <si>
    <t>DR1512-ORB.JPG</t>
  </si>
  <si>
    <t>DR1512-WHF</t>
  </si>
  <si>
    <t>12" DOWN ROD WITH WIRE AND CONNECTOR FOR F738/739L ONLY IN FLAT WHITE</t>
  </si>
  <si>
    <t>DR1512-WHF.JPG</t>
  </si>
  <si>
    <t>DR1518-BN</t>
  </si>
  <si>
    <t>18" DOWN ROD WITH WIRE AND CONNECTOR FOR F738/739L ONLY IN BRUSHED NICKEL</t>
  </si>
  <si>
    <t>DR1518-BN.JPG</t>
  </si>
  <si>
    <t>DR1518-DK</t>
  </si>
  <si>
    <t>18" DOWN ROD WITH WIRE AND CONNECTOR FOR F738/739L ONLY IN DISTRESSED KOA</t>
  </si>
  <si>
    <t>DR1518-DK.JPG</t>
  </si>
  <si>
    <t>DR1518-ORB</t>
  </si>
  <si>
    <t>18" DOWN ROD WITH WIRE AND CONNECTOR FOR F738/739L ONLY IN OIL RUBBED BRONZE</t>
  </si>
  <si>
    <t>DR1518-ORB.JPG</t>
  </si>
  <si>
    <t>DR1518-WHF</t>
  </si>
  <si>
    <t>18" DOWN ROD WITH WIRE AND CONNECTOR FOR F738/739L ONLY IN FLAT WHITE</t>
  </si>
  <si>
    <t>DR1518-WHF.JPG</t>
  </si>
  <si>
    <t>DR1524-ASL</t>
  </si>
  <si>
    <t>CEILING FAN DOWNROD FOR F738,F739L</t>
  </si>
  <si>
    <t>24" DOWN ROD WITH WIRE AND CONNECTOR FOR F738/739L</t>
  </si>
  <si>
    <t>AUTOMOTIVE SILVER</t>
  </si>
  <si>
    <t>DR1524-ASL.JPG</t>
  </si>
  <si>
    <t>D1524</t>
  </si>
  <si>
    <t>DR1524-BN</t>
  </si>
  <si>
    <t>24" DOWN ROD WITH WIRE AND CONNECTOR FOR F738/739L ONLY IN BRUSHED NICKEL</t>
  </si>
  <si>
    <t>DR1524-BN.JPG</t>
  </si>
  <si>
    <t>DR1524-DK</t>
  </si>
  <si>
    <t>24" DOWN ROD WITH WIRE AND CONNECTOR FOR F738/739L ONLY IN DISTRESSED KOA</t>
  </si>
  <si>
    <t>DR1524-DK.JPG</t>
  </si>
  <si>
    <t>DR1524-ORB</t>
  </si>
  <si>
    <t>24" DOWN ROD WITH WIRE AND CONNECTOR FOR F738/739L ONLY IN OIL RUBBED BRONZE</t>
  </si>
  <si>
    <t>DR1524-ORB.JPG</t>
  </si>
  <si>
    <t>DR1524-WHF</t>
  </si>
  <si>
    <t>CEILING FAN DOWNROD FOR F738, F739L</t>
  </si>
  <si>
    <t>24" DOWN ROD WITH WIRE AND CONNECTOR FOR F738/739L ONLY IN FLAT WHITE</t>
  </si>
  <si>
    <t>DR1524-WHF.JPG</t>
  </si>
  <si>
    <t>DR1524</t>
  </si>
  <si>
    <t>DR1536-BN</t>
  </si>
  <si>
    <t>36" DOWN ROD WITH WIRE AND CONNECTOR FOR F738/739L ONLY IN BRUSHED NICKEL</t>
  </si>
  <si>
    <t>DR1536-BN.JPG</t>
  </si>
  <si>
    <t>DR1536-DK</t>
  </si>
  <si>
    <t>36" DOWN ROD WITH WIRE AND CONNECTOR FOR F738/739L ONLY IN DISTRESSED KOA</t>
  </si>
  <si>
    <t>DR1536-DK.JPG</t>
  </si>
  <si>
    <t>DR1536-ORB</t>
  </si>
  <si>
    <t>36" DOWN ROD WITH WIRE AND CONNECTOR FOR F738/739L ONLY IN OIL RUBBED BRONZE</t>
  </si>
  <si>
    <t>DR1536-ORB.JPG</t>
  </si>
  <si>
    <t>DR1536-WHF</t>
  </si>
  <si>
    <t>36" DOWN ROD WITH WIRE AND CONNECTOR FOR F738/739L ONLY IN FLAT WHITE</t>
  </si>
  <si>
    <t>DR1536-WHF.JPG</t>
  </si>
  <si>
    <t>DR1536</t>
  </si>
  <si>
    <t>DR1548-DK</t>
  </si>
  <si>
    <t>48" DOWN ROD WITH WIRE AND CONNECTOR FOR F738/739L ONLY IN DISTRESSED KOA</t>
  </si>
  <si>
    <t>DR1548-DK.JPG</t>
  </si>
  <si>
    <t>DR1548-ORB</t>
  </si>
  <si>
    <t>48" DOWN ROD WITH WIRE AND CONNECTOR FOR F738/739L ONLY IN OIL RUBBED BRONZE</t>
  </si>
  <si>
    <t>TRK</t>
  </si>
  <si>
    <t>DR1548-ORB.JPG</t>
  </si>
  <si>
    <t>DR1548-WHF</t>
  </si>
  <si>
    <t>48" DOWN ROD WITH WIRE AND CONNECTOR FOR F738/739L ONLY IN FLAT WHITE</t>
  </si>
  <si>
    <t>DR1548-WHF.JPG</t>
  </si>
  <si>
    <t>DR1560-DK</t>
  </si>
  <si>
    <t>60" DOWN ROD WITH WIRE AND CONNECTOR FOR F738/739L ONLY IN DISTRESSED KOA</t>
  </si>
  <si>
    <t>DR1560-DK.JPG</t>
  </si>
  <si>
    <t>DR1560-ORB</t>
  </si>
  <si>
    <t>60" DOWN ROD WITH WIRE AND CONNECTOR FOR F738/739L ONLY IN OIL RUBBED BRONZE</t>
  </si>
  <si>
    <t>DR1560-ORB.JPG</t>
  </si>
  <si>
    <t>DR1560-WHF</t>
  </si>
  <si>
    <t>60" DOWN ROD WITH WIRE AND CONNECTOR FOR F738/739L ONLY IN FLAT WHITE</t>
  </si>
  <si>
    <t>DR1560-WHF.JPG</t>
  </si>
  <si>
    <t>DR1572-DK</t>
  </si>
  <si>
    <t>72" DOWN ROD WITH WIRE AND CONNECTOR FOR F738/739L ONLY IN DISTRESSED KOA</t>
  </si>
  <si>
    <t>DR1572-DK.JPG</t>
  </si>
  <si>
    <t>DR1572-ORB</t>
  </si>
  <si>
    <t>72" DOWN ROD WITH WIRE AND CONNECTOR FOR F738/739L ONLY IN OIL RUBBED BRONZE</t>
  </si>
  <si>
    <t>DR1572-ORB.JPG</t>
  </si>
  <si>
    <t>DR1572-WHF</t>
  </si>
  <si>
    <t>72" DOWN ROD WITH WIRE AND CONNECTOR FOR F738/739L ONLY IN FLAT WHITE</t>
  </si>
  <si>
    <t>DR1572-WHF.JPG</t>
  </si>
  <si>
    <t>DR235-44</t>
  </si>
  <si>
    <t>CEILING FAN DOWNROD</t>
  </si>
  <si>
    <t>1/2" X 3.5" DOWN ROD IN WHITE FOR F531-1-WH</t>
  </si>
  <si>
    <t>DR235-44.JPG</t>
  </si>
  <si>
    <t>DR235-BN</t>
  </si>
  <si>
    <t>1/2" X 3.5" DOWN ROD IN BRUSHED NICKEL FOR F531-BN</t>
  </si>
  <si>
    <t>Other</t>
  </si>
  <si>
    <t>DR235-BN.JPG</t>
  </si>
  <si>
    <t>DR235</t>
  </si>
  <si>
    <t>DR500-44</t>
  </si>
  <si>
    <t>CEILING FAN DOWNROD COUPLER</t>
  </si>
  <si>
    <t>COUPLER IN WHITE</t>
  </si>
  <si>
    <t>DR500-44.JPG</t>
  </si>
  <si>
    <t>DR500</t>
  </si>
  <si>
    <t>ZINC</t>
  </si>
  <si>
    <t>DR500-ABDD</t>
  </si>
  <si>
    <t>COUPLER IN BRUSHED ALUMINUM</t>
  </si>
  <si>
    <t>DR500-ABDD.JPG</t>
  </si>
  <si>
    <t>DR500-BCW</t>
  </si>
  <si>
    <t>DR500-BCW.JPG</t>
  </si>
  <si>
    <t>DR500-BG</t>
  </si>
  <si>
    <t>DR500-BG.JPG</t>
  </si>
  <si>
    <t>DR500-BI</t>
  </si>
  <si>
    <t>COUPLER IN BLACK IRON</t>
  </si>
  <si>
    <t>DR500-BI.JPG</t>
  </si>
  <si>
    <t>DR500-BK</t>
  </si>
  <si>
    <t>COUPLER IN BLACK</t>
  </si>
  <si>
    <t>DR500-BK.JPG</t>
  </si>
  <si>
    <t>DR500-BN</t>
  </si>
  <si>
    <t>COUPLER IN BRUSHED NICKEL</t>
  </si>
  <si>
    <t>DR500-BN.JPG</t>
  </si>
  <si>
    <t>DR500-BNK</t>
  </si>
  <si>
    <t>COUPLER IN BURNISHED NICKEL</t>
  </si>
  <si>
    <t>DR500-BNK.JPG</t>
  </si>
  <si>
    <t>DR500-BNW</t>
  </si>
  <si>
    <t>COUPLER IN BRUSHED NICKEL WET</t>
  </si>
  <si>
    <t>DR500-BNW.JPG</t>
  </si>
  <si>
    <t>DR500-BS</t>
  </si>
  <si>
    <t>COUPLER IN BRUSHED STEEL</t>
  </si>
  <si>
    <t>DR500-BS.JPG</t>
  </si>
  <si>
    <t>DR500-BWH</t>
  </si>
  <si>
    <t>COUPLER IN BONE WHITE</t>
  </si>
  <si>
    <t>DR500-BWH.JPG</t>
  </si>
  <si>
    <t>DR500-CC</t>
  </si>
  <si>
    <t>COUPLER IN COGNAC</t>
  </si>
  <si>
    <t>DR500-CC.JPG</t>
  </si>
  <si>
    <t>DR500-CH</t>
  </si>
  <si>
    <t>COUPLER IN CHROME</t>
  </si>
  <si>
    <t>DR500-CH.JPG</t>
  </si>
  <si>
    <t>DR500-CL</t>
  </si>
  <si>
    <t>COUPLER IN COAL</t>
  </si>
  <si>
    <t>DR500-CL.JPG</t>
  </si>
  <si>
    <t>DR500-CPBR</t>
  </si>
  <si>
    <t>COUPLER IN COPPER BRONZE</t>
  </si>
  <si>
    <t>DR500-CPBR.JPG</t>
  </si>
  <si>
    <t>DR500-CT</t>
  </si>
  <si>
    <t>DR500-CT.JPG</t>
  </si>
  <si>
    <t>DR500-DBB</t>
  </si>
  <si>
    <t>COUPLER IN DARK BRUSHED BRONZE</t>
  </si>
  <si>
    <t>DR500-DBB.JPG</t>
  </si>
  <si>
    <t>DR500-DRB</t>
  </si>
  <si>
    <t>DR500-DRB.JPG</t>
  </si>
  <si>
    <t>DR500-DRF</t>
  </si>
  <si>
    <t>COUPLER IN DRIFTWOOD</t>
  </si>
  <si>
    <t>DR500-DRF.JPG</t>
  </si>
  <si>
    <t>DR500-DRFF</t>
  </si>
  <si>
    <t>COUPLER WET RATED IN DRIFTWOOD</t>
  </si>
  <si>
    <t>DR500-DRFF.JPG</t>
  </si>
  <si>
    <t>DR500-FB</t>
  </si>
  <si>
    <t>COUPLER IN FRENCH BEIGE</t>
  </si>
  <si>
    <t>DR500-FB.JPG</t>
  </si>
  <si>
    <t>zinc</t>
  </si>
  <si>
    <t>DR500-GI</t>
  </si>
  <si>
    <t>COUPLER IN GREY IRON</t>
  </si>
  <si>
    <t>GREY IRON</t>
  </si>
  <si>
    <t>DR500-GI.JPG</t>
  </si>
  <si>
    <t>DR500-GL</t>
  </si>
  <si>
    <t>COUPLER IN GALVANIZED</t>
  </si>
  <si>
    <t>DR500-GL.JPG</t>
  </si>
  <si>
    <t>DR500-GM</t>
  </si>
  <si>
    <t>COUPLER IN GUN METAL</t>
  </si>
  <si>
    <t>DR500-GM.JPG</t>
  </si>
  <si>
    <t>DR500-HBZ</t>
  </si>
  <si>
    <t>COUPLER IN HEIRLOOM BRONZE</t>
  </si>
  <si>
    <t>DR500-HBZ.JPG</t>
  </si>
  <si>
    <t>DR500-HT</t>
  </si>
  <si>
    <t>DR500-HT.JPG</t>
  </si>
  <si>
    <t>DR500-IBR</t>
  </si>
  <si>
    <t>DR500-IBR.JPG</t>
  </si>
  <si>
    <t>DR500-IO</t>
  </si>
  <si>
    <t>COUPLER IN IRON OXIDE</t>
  </si>
  <si>
    <t>DR500-IO.JPG</t>
  </si>
  <si>
    <t>DR500-KA</t>
  </si>
  <si>
    <t>COUPLER IN KOCOA</t>
  </si>
  <si>
    <t>DR500-KA.JPG</t>
  </si>
  <si>
    <t>DR500-LN</t>
  </si>
  <si>
    <t>COUPLER IN LIQUID NICKEL</t>
  </si>
  <si>
    <t>DR500-LN.JPG</t>
  </si>
  <si>
    <t>DR500-MCG</t>
  </si>
  <si>
    <t>COUPLER IN MOTTLED COPPER WITH GOLD HIGHLIGHT</t>
  </si>
  <si>
    <t>DR500-MCG.JPG</t>
  </si>
  <si>
    <t>DR500-MG</t>
  </si>
  <si>
    <t>COUPLER IN MAHOGANY</t>
  </si>
  <si>
    <t>DR500-MG.JPG</t>
  </si>
  <si>
    <t>DR500-MP</t>
  </si>
  <si>
    <t>COUPLER IN MAPLE</t>
  </si>
  <si>
    <t>DR500-MP.JPG</t>
  </si>
  <si>
    <t>DR500-MW</t>
  </si>
  <si>
    <t>DR500-MW.JPG</t>
  </si>
  <si>
    <t>DR500-ODK</t>
  </si>
  <si>
    <t>COUPLER WET RATED IN DISTRESSED KOA</t>
  </si>
  <si>
    <t>DR500-ODK.JPG</t>
  </si>
  <si>
    <t>DR500-ORB</t>
  </si>
  <si>
    <t>COUPLER IN OIL RUBBED BRONZE</t>
  </si>
  <si>
    <t>DR500-ORB.JPG</t>
  </si>
  <si>
    <t>DR500-PBL</t>
  </si>
  <si>
    <t>COUPLER IN PROVENCAL BLANC</t>
  </si>
  <si>
    <t>DR500-PBL.JPG</t>
  </si>
  <si>
    <t>DR500-PI</t>
  </si>
  <si>
    <t>COUPLER IN PATINA IRON</t>
  </si>
  <si>
    <t>DR500-PI.JPG</t>
  </si>
  <si>
    <t>DR500-PN</t>
  </si>
  <si>
    <t>COUPLER IN POLISHED NICKEL</t>
  </si>
  <si>
    <t>DR500-PN.JPG</t>
  </si>
  <si>
    <t>DR500-PW</t>
  </si>
  <si>
    <t>COUPLER IN PEWTER</t>
  </si>
  <si>
    <t>DR500-PW.JPG</t>
  </si>
  <si>
    <t>DR500-RD</t>
  </si>
  <si>
    <t>COUPLER IN RED</t>
  </si>
  <si>
    <t>DR500-RD.JPG</t>
  </si>
  <si>
    <t>DR500-RRB</t>
  </si>
  <si>
    <t>DR500-RRB.JPG</t>
  </si>
  <si>
    <t>DR500-RW</t>
  </si>
  <si>
    <t>COUPLER IN ROSEWOOD</t>
  </si>
  <si>
    <t>DR500-RW.JPG</t>
  </si>
  <si>
    <t>DR500-SDBK</t>
  </si>
  <si>
    <t>COUPLER IN SAND BLACK</t>
  </si>
  <si>
    <t>DR500-SDBK.JPG</t>
  </si>
  <si>
    <t>DR500-SI</t>
  </si>
  <si>
    <t>COUPLER IN SMOKED IRON</t>
  </si>
  <si>
    <t>DR500-SI.JPG</t>
  </si>
  <si>
    <t>DR500-SL</t>
  </si>
  <si>
    <t>COUPLER IN SILVER</t>
  </si>
  <si>
    <t>DR500-SL.JPG</t>
  </si>
  <si>
    <t>DR500-STW/GOW</t>
  </si>
  <si>
    <t>COUPLER IN STERLING AND GOLDEN WALNUT</t>
  </si>
  <si>
    <t>DR500-STW-GOW.JPG</t>
  </si>
  <si>
    <t>DR500-SWH</t>
  </si>
  <si>
    <t>COUPLER IN SHELL WHITE</t>
  </si>
  <si>
    <t>DR500-SWH.JPG</t>
  </si>
  <si>
    <t>DR500-TCL</t>
  </si>
  <si>
    <t>COUPLER IN TEXTURED COAL</t>
  </si>
  <si>
    <t>DR500-TCL.JPG</t>
  </si>
  <si>
    <t>DR500-TI</t>
  </si>
  <si>
    <t>COUPLER IN TARNISHED IRON</t>
  </si>
  <si>
    <t>TARNISHED IRON</t>
  </si>
  <si>
    <t>DR500-TI.JPG</t>
  </si>
  <si>
    <t>DR500-TSP</t>
  </si>
  <si>
    <t>DR500-TSP.JPG</t>
  </si>
  <si>
    <t>DR500-TWW</t>
  </si>
  <si>
    <t>COUPLER IN TEXTURED WHITE</t>
  </si>
  <si>
    <t>DR500-TWW.JPG</t>
  </si>
  <si>
    <t>DR500-VB</t>
  </si>
  <si>
    <t>DR500-VB.JPG</t>
  </si>
  <si>
    <t>DR500-VP</t>
  </si>
  <si>
    <t>COUPLER IN VINEYARD PATINA</t>
  </si>
  <si>
    <t>DR500-VP.JPG</t>
  </si>
  <si>
    <t>DR500-VRT</t>
  </si>
  <si>
    <t>DR500-VRT.JPG</t>
  </si>
  <si>
    <t>DR500-WA</t>
  </si>
  <si>
    <t>COUPLER IN WEATHERED ALUMINUM</t>
  </si>
  <si>
    <t>WEATHERED ALUMINUM</t>
  </si>
  <si>
    <t>DR500-WA.JPG</t>
  </si>
  <si>
    <t>DR500-WHF</t>
  </si>
  <si>
    <t>COUPLER IN FLAT WHITE</t>
  </si>
  <si>
    <t>DR500-WHF.JPG</t>
  </si>
  <si>
    <t>DR503-44</t>
  </si>
  <si>
    <t>3.5" DOWN ROD IN WHITE</t>
  </si>
  <si>
    <t>DR503-44.JPG</t>
  </si>
  <si>
    <t>DR503</t>
  </si>
  <si>
    <t>DR503-ABDD</t>
  </si>
  <si>
    <t>3.5" DOWN ROD IN BRUSHED ALUMINUM</t>
  </si>
  <si>
    <t>DR503-ABDD.JPG</t>
  </si>
  <si>
    <t>DR503-BG</t>
  </si>
  <si>
    <t>3.5" DOWN ROD IN BEIGE</t>
  </si>
  <si>
    <t>DR503-BG.JPG</t>
  </si>
  <si>
    <t>DR503-BI</t>
  </si>
  <si>
    <t>3.5" DOWN ROD IN BLACK IRON</t>
  </si>
  <si>
    <t>DR503-BI.JPG</t>
  </si>
  <si>
    <t>DR503-BN</t>
  </si>
  <si>
    <t>3.5" DOWN ROD IN BRUSHED NICKEL</t>
  </si>
  <si>
    <t>DR503-BN.JPG</t>
  </si>
  <si>
    <t>DR503-BNK</t>
  </si>
  <si>
    <t>3.5" DOWN ROD IN BURNISHED NICKEL</t>
  </si>
  <si>
    <t>DR503-BNK.JPG</t>
  </si>
  <si>
    <t>DR503-CL</t>
  </si>
  <si>
    <t>3.5" DOWN ROD IN COAL</t>
  </si>
  <si>
    <t>DR503-CL.JPG</t>
  </si>
  <si>
    <t>DR503-ORB</t>
  </si>
  <si>
    <t>3.5" DOWN ROD IN OIL RUBBED BRONZE</t>
  </si>
  <si>
    <t>DR503-ORB.JPG</t>
  </si>
  <si>
    <t>DR503-SL</t>
  </si>
  <si>
    <t>3.5" DOWN ROD IN SILVER</t>
  </si>
  <si>
    <t>DR503-SL.JPG</t>
  </si>
  <si>
    <t>DR504-44</t>
  </si>
  <si>
    <t>4.5" DOWN ROD IN WHITE</t>
  </si>
  <si>
    <t>DR504-44.JPG</t>
  </si>
  <si>
    <t>DR504-BCW</t>
  </si>
  <si>
    <t>DR504-BCW.JPG</t>
  </si>
  <si>
    <t>DR504-BN</t>
  </si>
  <si>
    <t>4.5" DOWN ROD IN BRUSHED NICKEL</t>
  </si>
  <si>
    <t>DR504-BN.JPG</t>
  </si>
  <si>
    <t>DR504</t>
  </si>
  <si>
    <t>DR504-DRB</t>
  </si>
  <si>
    <t>DR504-DRB.JPG</t>
  </si>
  <si>
    <t>DR504-ORB</t>
  </si>
  <si>
    <t>4.5" DOWN ROD IN OIL RUBBED BRONZE</t>
  </si>
  <si>
    <t>DR504-ORB.JPG</t>
  </si>
  <si>
    <t>DR504-PN</t>
  </si>
  <si>
    <t>4.5" DOWN ROD IN POLISHED NICKEL</t>
  </si>
  <si>
    <t>DR504-PN.JPG</t>
  </si>
  <si>
    <t>DR504-VB</t>
  </si>
  <si>
    <t>DR504-VB.JPG</t>
  </si>
  <si>
    <t>DR506-44</t>
  </si>
  <si>
    <t>6" DOWN ROD IN WHITE</t>
  </si>
  <si>
    <t>DR506-44.JPG</t>
  </si>
  <si>
    <t>DR506</t>
  </si>
  <si>
    <t>DR506-BN</t>
  </si>
  <si>
    <t>6" DOWN ROD IN BRUSHED NICKEL</t>
  </si>
  <si>
    <t>DR506-BN.JPG</t>
  </si>
  <si>
    <t>DR506-ODK</t>
  </si>
  <si>
    <t>6" DOWN ROD IN OUTDOOR DISTRESSED KOA</t>
  </si>
  <si>
    <t>DR506-ODK.JPG</t>
  </si>
  <si>
    <t>DR506-ORB</t>
  </si>
  <si>
    <t>6" DOWN ROD IN OIL RUBBED BRONZE</t>
  </si>
  <si>
    <t>DR506-ORB.JPG</t>
  </si>
  <si>
    <t>DR510-BN</t>
  </si>
  <si>
    <t>10" DOWN ROD IN BRUSHED NICKEL</t>
  </si>
  <si>
    <t>DR510-BN.JPG</t>
  </si>
  <si>
    <t>DR510-ORB</t>
  </si>
  <si>
    <t>10" DOWN ROD IN OIL RUBBED BRONZE</t>
  </si>
  <si>
    <t>DR510-ORB.JPG</t>
  </si>
  <si>
    <t>DR512-44</t>
  </si>
  <si>
    <t>12" DOWN ROD IN WHITE</t>
  </si>
  <si>
    <t>DR512-44.JPG</t>
  </si>
  <si>
    <t>DR512-ABDD</t>
  </si>
  <si>
    <t>12" DOWN ROD IN BRUSHED ALUMINUM</t>
  </si>
  <si>
    <t>DR512-ABDD.JPG</t>
  </si>
  <si>
    <t>DR512</t>
  </si>
  <si>
    <t>DR512-BCW</t>
  </si>
  <si>
    <t>DR512-BCW.JPG</t>
  </si>
  <si>
    <t>DR512-BG</t>
  </si>
  <si>
    <t>DR512-BG.JPG</t>
  </si>
  <si>
    <t>DR512-BI</t>
  </si>
  <si>
    <t>12" DOWN ROD IN BLACK IRON</t>
  </si>
  <si>
    <t>BI</t>
  </si>
  <si>
    <t>DR512-BI.JPG</t>
  </si>
  <si>
    <t>DR512-BK</t>
  </si>
  <si>
    <t>12" DOWN ROD IN BLACK</t>
  </si>
  <si>
    <t>DR512-BK.JPG</t>
  </si>
  <si>
    <t>DR512-BN</t>
  </si>
  <si>
    <t>12" DOWN ROD IN BRUSHED NICKEL</t>
  </si>
  <si>
    <t>DR512-BN.JPG</t>
  </si>
  <si>
    <t>DR512-BNK</t>
  </si>
  <si>
    <t>12" DOWN ROD IN BURNISHED NICKEL</t>
  </si>
  <si>
    <t>DR512-BNK.JPG</t>
  </si>
  <si>
    <t>DR512-BNW</t>
  </si>
  <si>
    <t>12" DOWN ROD IN BRUSHED NICKEL WET</t>
  </si>
  <si>
    <t>DR512-BNW.JPG</t>
  </si>
  <si>
    <t>DR512-BS</t>
  </si>
  <si>
    <t>12" DOWN ROD IN BRUSHED STEEL</t>
  </si>
  <si>
    <t>DR512-BS.JPG</t>
  </si>
  <si>
    <t>DR512-BWH</t>
  </si>
  <si>
    <t>12" DOWN ROD IN BONE WHITE</t>
  </si>
  <si>
    <t>DR512-BWH.JPG</t>
  </si>
  <si>
    <t>DR512-CC</t>
  </si>
  <si>
    <t>12" DOWN ROD IN COGNAC</t>
  </si>
  <si>
    <t>DR512-CC.JPG</t>
  </si>
  <si>
    <t>DR512-CH</t>
  </si>
  <si>
    <t>12" DOWN ROD IN CHROME</t>
  </si>
  <si>
    <t>DR512-CH.JPG</t>
  </si>
  <si>
    <t>DR512-CL</t>
  </si>
  <si>
    <t>12" DOWN ROD IN COAL</t>
  </si>
  <si>
    <t>DR512-CL.JPG</t>
  </si>
  <si>
    <t>DR512-CPBR</t>
  </si>
  <si>
    <t>12" DOWN ROD IN COPPER BRONZE</t>
  </si>
  <si>
    <t>DR512-CPBR.JPG</t>
  </si>
  <si>
    <t>DR512-CT</t>
  </si>
  <si>
    <t>DR512-CT.JPG</t>
  </si>
  <si>
    <t>DR512-DBB</t>
  </si>
  <si>
    <t>12" DOWN ROD IN DARK BRUSHED BRONZE</t>
  </si>
  <si>
    <t>DR512-DBB.JPG</t>
  </si>
  <si>
    <t>DR512-DRB</t>
  </si>
  <si>
    <t>DR512-DRB.JPG</t>
  </si>
  <si>
    <t>DR512-DRFF</t>
  </si>
  <si>
    <t>12" DOWN ROD WET RATED IN DRIFTWOOD</t>
  </si>
  <si>
    <t>DR512-DRFF.JPG</t>
  </si>
  <si>
    <t>DR512-FB</t>
  </si>
  <si>
    <t>12" DOWN ROD IN FRENCH BEIGE</t>
  </si>
  <si>
    <t>DR512-FB.JPG</t>
  </si>
  <si>
    <t>DR512-GI</t>
  </si>
  <si>
    <t>12" DOWN ROD IN GREY IRON</t>
  </si>
  <si>
    <t>DR512-GI.JPG</t>
  </si>
  <si>
    <t>DR512-GL</t>
  </si>
  <si>
    <t>12" DOWN ROD IN GALVANIZED</t>
  </si>
  <si>
    <t>DR512-GL.JPG</t>
  </si>
  <si>
    <t>DR512-GM</t>
  </si>
  <si>
    <t>12" DOWN ROD IN GUN METAL</t>
  </si>
  <si>
    <t>DR512-GM.JPG</t>
  </si>
  <si>
    <t>DR512-GS</t>
  </si>
  <si>
    <t>GRAPHITE STEEL</t>
  </si>
  <si>
    <t>DR512-GS.JPG</t>
  </si>
  <si>
    <t>DR512-HBZ</t>
  </si>
  <si>
    <t>12" DOWN ROD IN HEIRLOOM BRONZE</t>
  </si>
  <si>
    <t>DR512-HBZ.JPG</t>
  </si>
  <si>
    <t>DR512-HT</t>
  </si>
  <si>
    <t>DR512-HT.JPG</t>
  </si>
  <si>
    <t>DR512-IBR</t>
  </si>
  <si>
    <t>DR512-IBR.JPG</t>
  </si>
  <si>
    <t>DR512-KA</t>
  </si>
  <si>
    <t>12" DOWN ROD IN KOCOA</t>
  </si>
  <si>
    <t>DR512-KA.JPG</t>
  </si>
  <si>
    <t>DR512-LN</t>
  </si>
  <si>
    <t>12" DOWN ROD IN LIQUID NICKEL</t>
  </si>
  <si>
    <t>DR512-LN.JPG</t>
  </si>
  <si>
    <t>DR512-MCG</t>
  </si>
  <si>
    <t>12" DOWN ROD IN MOTTLED COPPER WITH GOLD HIGHLIGHT</t>
  </si>
  <si>
    <t>DR512-MCG.JPG</t>
  </si>
  <si>
    <t>DR512-MG</t>
  </si>
  <si>
    <t>12" DOWN ROD IN MAHOGANY</t>
  </si>
  <si>
    <t>DR512-MG.JPG</t>
  </si>
  <si>
    <t>DR512-MP</t>
  </si>
  <si>
    <t>12" DOWN ROD IN MAPLE</t>
  </si>
  <si>
    <t>DR512-MP.JPG</t>
  </si>
  <si>
    <t>DR512-MW</t>
  </si>
  <si>
    <t>DR512-MW.JPG</t>
  </si>
  <si>
    <t>DR512-ODK</t>
  </si>
  <si>
    <t>12" DOWN ROD WET RATED IN DISTRESSED KOA</t>
  </si>
  <si>
    <t>DR512-ODK.JPG</t>
  </si>
  <si>
    <t>DR512-ORB</t>
  </si>
  <si>
    <t>12" DOWN ROD IN OIL RUBBED BRONZE</t>
  </si>
  <si>
    <t>DR512-ORB.JPG</t>
  </si>
  <si>
    <t>DR512-PBL</t>
  </si>
  <si>
    <t>12" DOWN ROD IN PROVENCAL BLANC</t>
  </si>
  <si>
    <t>DR512-PBL.JPG</t>
  </si>
  <si>
    <t>DR512-PI</t>
  </si>
  <si>
    <t>12" DOWN ROD IN PATINA IRON</t>
  </si>
  <si>
    <t>DR512-PI.JPG</t>
  </si>
  <si>
    <t>DR512-PN</t>
  </si>
  <si>
    <t>12" DOWN ROD IN POLISHED NICKEL</t>
  </si>
  <si>
    <t>DR512-PN.JPG</t>
  </si>
  <si>
    <t>DR512-PW</t>
  </si>
  <si>
    <t>12" DOWN ROD IN PEWTER</t>
  </si>
  <si>
    <t>DR512-PW.JPG</t>
  </si>
  <si>
    <t>DR512-RD</t>
  </si>
  <si>
    <t>12" DOWN ROD IN RED</t>
  </si>
  <si>
    <t>DR512-RD.JPG</t>
  </si>
  <si>
    <t>DR512-RRB</t>
  </si>
  <si>
    <t>DR512-RRB.JPG</t>
  </si>
  <si>
    <t>DR512-RW</t>
  </si>
  <si>
    <t>12" DOWN ROD IN ROSEWOOD</t>
  </si>
  <si>
    <t>DR512-RW.JPG</t>
  </si>
  <si>
    <t>DR512-SDBK</t>
  </si>
  <si>
    <t>12" DOWN ROD IN SAND BLACK</t>
  </si>
  <si>
    <t>SDBK</t>
  </si>
  <si>
    <t>DR512-SDBK.JPG</t>
  </si>
  <si>
    <t>DR512-SI</t>
  </si>
  <si>
    <t>12" DOWN ROD IN SMOKED IRON</t>
  </si>
  <si>
    <t>DR512-SI.JPG</t>
  </si>
  <si>
    <t>DR512-SL</t>
  </si>
  <si>
    <t>12" DOWN ROD IN SILVER</t>
  </si>
  <si>
    <t>DR512-SL.JPG</t>
  </si>
  <si>
    <t>DR512-STW/GOW</t>
  </si>
  <si>
    <t>12" DOWN ROD IN STERLING AND GOLDEN WALNUT</t>
  </si>
  <si>
    <t>DR512-STW-GOW.JPG</t>
  </si>
  <si>
    <t>DR512-SWH</t>
  </si>
  <si>
    <t>12" DOWN ROD IN SHELL WHITE</t>
  </si>
  <si>
    <t>DR512-SWH.JPG</t>
  </si>
  <si>
    <t>DR512-TCL</t>
  </si>
  <si>
    <t>12" DOWN ROD IN TEXTURED COAL</t>
  </si>
  <si>
    <t>DR512-TCL.JPG</t>
  </si>
  <si>
    <t>DR512-TSP</t>
  </si>
  <si>
    <t>DR512-TSP.JPG</t>
  </si>
  <si>
    <t>DR512-TWW</t>
  </si>
  <si>
    <t>12" DOWN ROD IN TEXTURED WHITE</t>
  </si>
  <si>
    <t>DR512-TWW.JPG</t>
  </si>
  <si>
    <t>DR512-VB</t>
  </si>
  <si>
    <t>DR512-VB.JPG</t>
  </si>
  <si>
    <t>DR512-VP</t>
  </si>
  <si>
    <t>12" DOWN ROD IN VINEYARD PATINA</t>
  </si>
  <si>
    <t>DR512-VP.JPG</t>
  </si>
  <si>
    <t>DR512-VRT</t>
  </si>
  <si>
    <t>DR512-VRT.JPG</t>
  </si>
  <si>
    <t>DR512-WA</t>
  </si>
  <si>
    <t>12" DOWN ROD IN WEATHERED ALUMINUM</t>
  </si>
  <si>
    <t>DR512-WA.JPG</t>
  </si>
  <si>
    <t>DR512-WHF</t>
  </si>
  <si>
    <t>12" DOWN ROD IN FLAT WHITE</t>
  </si>
  <si>
    <t>DR512-WHF.JPG</t>
  </si>
  <si>
    <t>DR518-44</t>
  </si>
  <si>
    <t>18" DOWN ROD IN WHITE</t>
  </si>
  <si>
    <t>DR518-44.JPG</t>
  </si>
  <si>
    <t>DR518-ABDD</t>
  </si>
  <si>
    <t>18" DOWN ROD IN BRUSHED ALUMINUM</t>
  </si>
  <si>
    <t>DR518-ABDD.JPG</t>
  </si>
  <si>
    <t>DR518</t>
  </si>
  <si>
    <t>DR518-BCW</t>
  </si>
  <si>
    <t>DR518-BCW.JPG</t>
  </si>
  <si>
    <t>DR518-BG</t>
  </si>
  <si>
    <t>DR518-BG.JPG</t>
  </si>
  <si>
    <t>DR518-BI</t>
  </si>
  <si>
    <t>18" DOWN ROD IN BLACK IRON</t>
  </si>
  <si>
    <t>DR518-BI.JPG</t>
  </si>
  <si>
    <t>DR518-BK</t>
  </si>
  <si>
    <t>18" DOWN ROD IN BLACK</t>
  </si>
  <si>
    <t>DR518-BK.JPG</t>
  </si>
  <si>
    <t>DR518-BN</t>
  </si>
  <si>
    <t>18" DOWN ROD IN BRUSHED NICKEL</t>
  </si>
  <si>
    <t>DR518-BN.JPG</t>
  </si>
  <si>
    <t>DR518-BNK</t>
  </si>
  <si>
    <t>18" DOWN ROD IN BURNISHED NICKEL</t>
  </si>
  <si>
    <t>DR518-BNK.JPG</t>
  </si>
  <si>
    <t>DR518-BNW</t>
  </si>
  <si>
    <t>18" DOWN ROD IN BRUSHED NICKEL WET</t>
  </si>
  <si>
    <t>DR518-BNW.JPG</t>
  </si>
  <si>
    <t>DR518-BS</t>
  </si>
  <si>
    <t>18" DOWN ROD IN BRUSHED STEEL</t>
  </si>
  <si>
    <t>DR518-BS.JPG</t>
  </si>
  <si>
    <t>DR518-BWH</t>
  </si>
  <si>
    <t>18" DOWN ROD IN BONE WHITE</t>
  </si>
  <si>
    <t>DR518-BWH.JPG</t>
  </si>
  <si>
    <t>DR518-CC</t>
  </si>
  <si>
    <t>18" DOWN ROD IN COGNAC</t>
  </si>
  <si>
    <t>DR518-CC.JPG</t>
  </si>
  <si>
    <t>DR518-CH</t>
  </si>
  <si>
    <t>18" DOWN ROD IN CHROME</t>
  </si>
  <si>
    <t>DR518-CH.JPG</t>
  </si>
  <si>
    <t>DR518-CL</t>
  </si>
  <si>
    <t>18" DOWN ROD IN COAL</t>
  </si>
  <si>
    <t>DR518-CL.JPG</t>
  </si>
  <si>
    <t>DR518-CPBR</t>
  </si>
  <si>
    <t>18" DOWN ROD IN COPPER BRONZE</t>
  </si>
  <si>
    <t>DR518-CPBR.JPG</t>
  </si>
  <si>
    <t>DR518-CT</t>
  </si>
  <si>
    <t>DR518-CT.JPG</t>
  </si>
  <si>
    <t>DR518-DBB</t>
  </si>
  <si>
    <t>18" DOWN ROD IN DARK BRUSHED BRONZE</t>
  </si>
  <si>
    <t>DR518-DBB.JPG</t>
  </si>
  <si>
    <t>DR518-DRB</t>
  </si>
  <si>
    <t>DR518-DRB.JPG</t>
  </si>
  <si>
    <t>DR518-DRFF</t>
  </si>
  <si>
    <t>18" DOWN ROD WET RATED IN DRIFTWOOD</t>
  </si>
  <si>
    <t>DR518-DRFF.JPG</t>
  </si>
  <si>
    <t>DR518-FB</t>
  </si>
  <si>
    <t>18" DOWN ROD IN FRENCH BEIGE</t>
  </si>
  <si>
    <t>DR518-FB.JPG</t>
  </si>
  <si>
    <t>DR518-GI</t>
  </si>
  <si>
    <t>18" DOWN ROD IN GREY IRON</t>
  </si>
  <si>
    <t>DR518-GI.JPG</t>
  </si>
  <si>
    <t>DR518-GL</t>
  </si>
  <si>
    <t>18" DOWN ROD IN GALVANIZED</t>
  </si>
  <si>
    <t>DR518-GL.JPG</t>
  </si>
  <si>
    <t>DR518-GM</t>
  </si>
  <si>
    <t>18" DOWN ROD IN GUN METAL</t>
  </si>
  <si>
    <t>DR518-GM.JPG</t>
  </si>
  <si>
    <t>DR518-GS</t>
  </si>
  <si>
    <t>DR518-GS.JPG</t>
  </si>
  <si>
    <t>DR518-HBZ</t>
  </si>
  <si>
    <t>18" DOWN ROD IN HEIRLOOM BRONZE</t>
  </si>
  <si>
    <t>DR518-HBZ.JPG</t>
  </si>
  <si>
    <t>DR518-HT</t>
  </si>
  <si>
    <t>DR518-HT.JPG</t>
  </si>
  <si>
    <t>DR518-IBR</t>
  </si>
  <si>
    <t>DR518-IBR.JPG</t>
  </si>
  <si>
    <t>DR518-KA</t>
  </si>
  <si>
    <t>18" DOWN ROD IN KOCOA</t>
  </si>
  <si>
    <t>DR518-KA.JPG</t>
  </si>
  <si>
    <t>DR518-LN</t>
  </si>
  <si>
    <t>18" DOWN ROD IN LIQUID NICKEL</t>
  </si>
  <si>
    <t>DR518-LN.JPG</t>
  </si>
  <si>
    <t>DR518-MCG</t>
  </si>
  <si>
    <t>18" DOWN ROD IN MOTTLED COPPER WITH GOLD HIGHLIGHT</t>
  </si>
  <si>
    <t>DR518-MCG.JPG</t>
  </si>
  <si>
    <t>DR518-MG</t>
  </si>
  <si>
    <t>18" DOWN ROD IN MAHOGANY</t>
  </si>
  <si>
    <t>DR518-MG.JPG</t>
  </si>
  <si>
    <t>DR518-MP</t>
  </si>
  <si>
    <t>18" DOWN ROD IN MAPLE</t>
  </si>
  <si>
    <t>DR518-MP.JPG</t>
  </si>
  <si>
    <t>DR518-MW</t>
  </si>
  <si>
    <t>DR518-MW.JPG</t>
  </si>
  <si>
    <t>DR518-ODK</t>
  </si>
  <si>
    <t>18" DOWN ROD WET RATED IN DISTRESSED KOA</t>
  </si>
  <si>
    <t>DR518-ODK.JPG</t>
  </si>
  <si>
    <t>DR518-ORB</t>
  </si>
  <si>
    <t>18" DOWN ROD IN OIL RUBBED BRONZE</t>
  </si>
  <si>
    <t>DR518-ORB.JPG</t>
  </si>
  <si>
    <t>DR518-PBL</t>
  </si>
  <si>
    <t>18" DOWN ROD IN PROVENCAL BLANC</t>
  </si>
  <si>
    <t>DR518-PBL.JPG</t>
  </si>
  <si>
    <t>DR518-PI</t>
  </si>
  <si>
    <t>18" DOWN ROD IN PATINA IRON</t>
  </si>
  <si>
    <t>DR518-PI.JPG</t>
  </si>
  <si>
    <t>DR518-PN</t>
  </si>
  <si>
    <t>18" DOWN ROD IN POLISHED NICKEL</t>
  </si>
  <si>
    <t>DR518-PN.JPG</t>
  </si>
  <si>
    <t>DR518-PW</t>
  </si>
  <si>
    <t>18" DOWN ROD IN PEWTER</t>
  </si>
  <si>
    <t>DR518-PW.JPG</t>
  </si>
  <si>
    <t>DR518-RD</t>
  </si>
  <si>
    <t>18" DOWN ROD IN RED</t>
  </si>
  <si>
    <t>DR518-RD.JPG</t>
  </si>
  <si>
    <t>DR518-RRB</t>
  </si>
  <si>
    <t>DR518-RRB.JPG</t>
  </si>
  <si>
    <t>DR518-RW</t>
  </si>
  <si>
    <t>18" DOWN ROD IN ROSEWOOD</t>
  </si>
  <si>
    <t>DR518-RW.JPG</t>
  </si>
  <si>
    <t>DR518-SDBK</t>
  </si>
  <si>
    <t>18" DOWN ROD IN SAND BLACK</t>
  </si>
  <si>
    <t>DR518-SDBK.JPG</t>
  </si>
  <si>
    <t>DR518-SI</t>
  </si>
  <si>
    <t>18" DOWN ROD IN SMOKED IRON</t>
  </si>
  <si>
    <t>DR518-SI.JPG</t>
  </si>
  <si>
    <t>DR518-SL</t>
  </si>
  <si>
    <t>18" DOWN ROD IN SILVER</t>
  </si>
  <si>
    <t>DR518-SL.JPG</t>
  </si>
  <si>
    <t>DR518-STW/GOW</t>
  </si>
  <si>
    <t>18" DOWN ROD IN STERLING AND GOLDEN WALNUT</t>
  </si>
  <si>
    <t>DR518-STW-GOW.JPG</t>
  </si>
  <si>
    <t>DR518-SWH</t>
  </si>
  <si>
    <t>18" DOWN ROD IN SHELL WHITE</t>
  </si>
  <si>
    <t>DR518-SWH.JPG</t>
  </si>
  <si>
    <t>DR518-TCL</t>
  </si>
  <si>
    <t>18" DOWN ROD IN TEXTURED COAL</t>
  </si>
  <si>
    <t>DR518-TCL.JPG</t>
  </si>
  <si>
    <t>DR518-TSP</t>
  </si>
  <si>
    <t>DR518-TSP.JPG</t>
  </si>
  <si>
    <t>DR518-TWW</t>
  </si>
  <si>
    <t>18" DOWN ROD IN TEXTURED WHITE</t>
  </si>
  <si>
    <t>DR518-TWW.JPG</t>
  </si>
  <si>
    <t>DR518-VB</t>
  </si>
  <si>
    <t>DR518-VB.JPG</t>
  </si>
  <si>
    <t>DR518-VP</t>
  </si>
  <si>
    <t>18" DOWN ROD IN VINEYARD PATINA</t>
  </si>
  <si>
    <t>DR518-VP.JPG</t>
  </si>
  <si>
    <t>DR518-VRT</t>
  </si>
  <si>
    <t>DR518-VRT.JPG</t>
  </si>
  <si>
    <t>DR518-WA</t>
  </si>
  <si>
    <t>18" DOWN ROD IN WEATHERED ALUMINUM</t>
  </si>
  <si>
    <t>DR518-WA.JPG</t>
  </si>
  <si>
    <t>DR518-WHF</t>
  </si>
  <si>
    <t>18" DOWN ROD IN FLAT WHITE</t>
  </si>
  <si>
    <t>DR518-WHF.JPG</t>
  </si>
  <si>
    <t>DR524-44</t>
  </si>
  <si>
    <t>24" DOWN ROD IN WHITE</t>
  </si>
  <si>
    <t>DR524-44.JPG</t>
  </si>
  <si>
    <t>DR524-ABDD</t>
  </si>
  <si>
    <t>24" DOWN ROD IN BRUSHED ALUMINUM</t>
  </si>
  <si>
    <t>DR524-ABDD.JPG</t>
  </si>
  <si>
    <t>D524</t>
  </si>
  <si>
    <t>DR524-BCW</t>
  </si>
  <si>
    <t>DR524-BCW.JPG</t>
  </si>
  <si>
    <t>DR524</t>
  </si>
  <si>
    <t>DR524-BG</t>
  </si>
  <si>
    <t>DR524-BG.JPG</t>
  </si>
  <si>
    <t>DR524-BI</t>
  </si>
  <si>
    <t>24" DOWN ROD IN BLACK IRON</t>
  </si>
  <si>
    <t>DR524-BI.JPG</t>
  </si>
  <si>
    <t>DR524-BK</t>
  </si>
  <si>
    <t>24" DOWN ROD IN BLACK</t>
  </si>
  <si>
    <t>DR524-BK.JPG</t>
  </si>
  <si>
    <t>DR524-BN</t>
  </si>
  <si>
    <t>24" DOWN ROD IN BRUSHED NICKEL</t>
  </si>
  <si>
    <t>DR524-BN.JPG</t>
  </si>
  <si>
    <t>DR524-BNK</t>
  </si>
  <si>
    <t>24" DOWN ROD IN BURNISHED NICKEL</t>
  </si>
  <si>
    <t>DR524-BNK.JPG</t>
  </si>
  <si>
    <t>DR524-BNW</t>
  </si>
  <si>
    <t>24" DOWN ROD IN BRUSHED NICKEL WET</t>
  </si>
  <si>
    <t>DR524-BNW.JPG</t>
  </si>
  <si>
    <t>DR524-BS</t>
  </si>
  <si>
    <t>24" DOWN ROD IN BRUSHED STEEL</t>
  </si>
  <si>
    <t>DR524-BS.JPG</t>
  </si>
  <si>
    <t>DR524-BWH</t>
  </si>
  <si>
    <t>24" DOWN ROD IN BONE WHITE</t>
  </si>
  <si>
    <t>DR524-BWH.JPG</t>
  </si>
  <si>
    <t>DR524-CC</t>
  </si>
  <si>
    <t>24" DOWN ROD IN COGNAC</t>
  </si>
  <si>
    <t>DR524-CC.JPG</t>
  </si>
  <si>
    <t>DR524-CH</t>
  </si>
  <si>
    <t>24" DOWN ROD IN CHROME</t>
  </si>
  <si>
    <t>DR524-CH.JPG</t>
  </si>
  <si>
    <t>DR524-CL</t>
  </si>
  <si>
    <t>24" DOWN ROD IN COAL</t>
  </si>
  <si>
    <t>DR524-CL.JPG</t>
  </si>
  <si>
    <t>DR524-CPBR</t>
  </si>
  <si>
    <t>24" DOWN ROD IN COPPER BRONZE</t>
  </si>
  <si>
    <t>DR524-CPBR.JPG</t>
  </si>
  <si>
    <t>DR524-CT</t>
  </si>
  <si>
    <t>DR524-CT.JPG</t>
  </si>
  <si>
    <t>DR524-DBB</t>
  </si>
  <si>
    <t>24" DOWN ROD IN DARK BRUSHED BRONZE</t>
  </si>
  <si>
    <t>DR524-DBB.JPG</t>
  </si>
  <si>
    <t>DR524-DRB</t>
  </si>
  <si>
    <t>DR524-DRB.JPG</t>
  </si>
  <si>
    <t>DR524-DRFF</t>
  </si>
  <si>
    <t>24" DOWN ROD WET RATED IN DRIFTWOOD</t>
  </si>
  <si>
    <t>DR524-DRFF.JPG</t>
  </si>
  <si>
    <t>DR524-FB</t>
  </si>
  <si>
    <t>24" DOWN ROD IN FRENCH BEIGE</t>
  </si>
  <si>
    <t>DR524-FB.JPG</t>
  </si>
  <si>
    <t>DR524-GI</t>
  </si>
  <si>
    <t>24" DOWN ROD IN GREY IRON</t>
  </si>
  <si>
    <t>DR524-GI.JPG</t>
  </si>
  <si>
    <t>DR524-GL</t>
  </si>
  <si>
    <t>24" DOWN ROD IN GALVANIZED</t>
  </si>
  <si>
    <t>DR524-GL.JPG</t>
  </si>
  <si>
    <t>DR524-GM</t>
  </si>
  <si>
    <t>24" DOWN ROD IN GUN METAL</t>
  </si>
  <si>
    <t>DR524-GM.JPG</t>
  </si>
  <si>
    <t>DR524-GS</t>
  </si>
  <si>
    <t>DR524-GS.JPG</t>
  </si>
  <si>
    <t>DR524-HBZ</t>
  </si>
  <si>
    <t>24" DOWN ROD IN HEIRLOOM BRONZE</t>
  </si>
  <si>
    <t>DR524-HBZ.JPG</t>
  </si>
  <si>
    <t>DR524-HT</t>
  </si>
  <si>
    <t>DR524-HT.JPG</t>
  </si>
  <si>
    <t>DR524-IBR</t>
  </si>
  <si>
    <t>DR524-IBR.JPG</t>
  </si>
  <si>
    <t>DR524-KA</t>
  </si>
  <si>
    <t>24" DOWN ROD IN KOCOA</t>
  </si>
  <si>
    <t>DR524-KA.JPG</t>
  </si>
  <si>
    <t>DR524-LN</t>
  </si>
  <si>
    <t>24" DOWN ROD IN LIQUID NICKEL</t>
  </si>
  <si>
    <t>DR524-LN.JPG</t>
  </si>
  <si>
    <t>DR524-MCG</t>
  </si>
  <si>
    <t>24" DOWN ROD IN MOTTLED COPPER WITH GOLD HIGHLIGHT</t>
  </si>
  <si>
    <t>DR524-MCG.JPG</t>
  </si>
  <si>
    <t>DR524-MP</t>
  </si>
  <si>
    <t>24" DOWN ROD IN MAPLE</t>
  </si>
  <si>
    <t>DR524-MP.JPG</t>
  </si>
  <si>
    <t>DR524-MW</t>
  </si>
  <si>
    <t>DR524-MW.JPG</t>
  </si>
  <si>
    <t>DR524-ODK</t>
  </si>
  <si>
    <t>24" DOWN ROD WET RATED IN DISTRESSED KOA</t>
  </si>
  <si>
    <t>DR524-ODK.JPG</t>
  </si>
  <si>
    <t>DR524-ORB</t>
  </si>
  <si>
    <t>24" DOWN ROD IN OIL RUBBED BRONZE</t>
  </si>
  <si>
    <t>DR524-ORB.JPG</t>
  </si>
  <si>
    <t>DR524-PBL</t>
  </si>
  <si>
    <t>24" DOWN ROD IN PROVENCAL BLANC</t>
  </si>
  <si>
    <t>DR524-PBL.JPG</t>
  </si>
  <si>
    <t>DR524-PI</t>
  </si>
  <si>
    <t>24" DOWN ROD IN PATINA IRON</t>
  </si>
  <si>
    <t>DR524-PI.JPG</t>
  </si>
  <si>
    <t>DR524-PN</t>
  </si>
  <si>
    <t>24" DOWN ROD IN POLISHED NICKEL</t>
  </si>
  <si>
    <t>DR524-PN.JPG</t>
  </si>
  <si>
    <t>DR524-PW</t>
  </si>
  <si>
    <t>24" DOWN ROD IN PEWTER</t>
  </si>
  <si>
    <t>DR524-PW.JPG</t>
  </si>
  <si>
    <t>DR524-RD</t>
  </si>
  <si>
    <t>24" DOWN ROD IN RED</t>
  </si>
  <si>
    <t>DR524-RD.JPG</t>
  </si>
  <si>
    <t>DR524-RRB</t>
  </si>
  <si>
    <t>DR524-RRB.JPG</t>
  </si>
  <si>
    <t>DR524-RW</t>
  </si>
  <si>
    <t>24" DOWN ROD IN ROSEWOOD</t>
  </si>
  <si>
    <t>DR524-RW.JPG</t>
  </si>
  <si>
    <t>DR524-SDBK</t>
  </si>
  <si>
    <t>24" DOWN ROD IN SAND BLACK</t>
  </si>
  <si>
    <t>DR524-SDBK.JPG</t>
  </si>
  <si>
    <t>DR524-SI</t>
  </si>
  <si>
    <t>24" DOWN ROD IN SMOKED IRON</t>
  </si>
  <si>
    <t>DR524-SI.JPG</t>
  </si>
  <si>
    <t>DR524-SL</t>
  </si>
  <si>
    <t>24" DOWN ROD IN SILVER</t>
  </si>
  <si>
    <t>DR524-SL.JPG</t>
  </si>
  <si>
    <t>DR524-STW/GOW</t>
  </si>
  <si>
    <t>24" DOWN ROD IN STERLING AND GOLDEN WALNUT</t>
  </si>
  <si>
    <t>DR524-STW-GOW.JPG</t>
  </si>
  <si>
    <t>DR524-SWH</t>
  </si>
  <si>
    <t>24" DOWN ROD IN SHELL WHITE</t>
  </si>
  <si>
    <t>DR524-SWH.JPG</t>
  </si>
  <si>
    <t>DR524-TCL</t>
  </si>
  <si>
    <t>24" DOWN ROD IN TEXTURED COAL</t>
  </si>
  <si>
    <t>DR524-TCL.JPG</t>
  </si>
  <si>
    <t>DR524-TSP</t>
  </si>
  <si>
    <t>DR524-TSP.JPG</t>
  </si>
  <si>
    <t>DR524-TWW</t>
  </si>
  <si>
    <t>24" DOWN ROD IN TEXTURED WHITE</t>
  </si>
  <si>
    <t>DR524-TWW.JPG</t>
  </si>
  <si>
    <t>DR524-VB</t>
  </si>
  <si>
    <t>DR524-VB.JPG</t>
  </si>
  <si>
    <t>DR524-VP</t>
  </si>
  <si>
    <t>24" DOWN ROD IN VINEYARD PATINA</t>
  </si>
  <si>
    <t>DR524-VP.JPG</t>
  </si>
  <si>
    <t>DR524-VRT</t>
  </si>
  <si>
    <t>DR524-VRT.JPG</t>
  </si>
  <si>
    <t>DR524-WA</t>
  </si>
  <si>
    <t>24" DOWN ROD IN WEATHERED ALUMINUM</t>
  </si>
  <si>
    <t>DR524-WA.JPG</t>
  </si>
  <si>
    <t>DR524-WHF</t>
  </si>
  <si>
    <t>24" DOWN ROD IN FLAT WHITE</t>
  </si>
  <si>
    <t>DR524-WHF.JPG</t>
  </si>
  <si>
    <t>DR536-44</t>
  </si>
  <si>
    <t>36" DOWN ROD IN WHITE</t>
  </si>
  <si>
    <t>DR536-44.JPG</t>
  </si>
  <si>
    <t>DR536-ABDD</t>
  </si>
  <si>
    <t>36" DOWN ROD IN BRUSHED ALUMINUM</t>
  </si>
  <si>
    <t>DR536-ABDD.JPG</t>
  </si>
  <si>
    <t>DR536-BCW</t>
  </si>
  <si>
    <t>DR536-BCW.JPG</t>
  </si>
  <si>
    <t>DR536</t>
  </si>
  <si>
    <t>DR536-BG</t>
  </si>
  <si>
    <t>DR536-BG.JPG</t>
  </si>
  <si>
    <t>DR536-BI</t>
  </si>
  <si>
    <t>36" DOWN ROD IN BLACK IRON</t>
  </si>
  <si>
    <t>DR536-BI.JPG</t>
  </si>
  <si>
    <t>DR536-BK</t>
  </si>
  <si>
    <t>36" DOWN ROD IN BLACK</t>
  </si>
  <si>
    <t>DR536-BK.JPG</t>
  </si>
  <si>
    <t>DR536-BN</t>
  </si>
  <si>
    <t>36" DOWN ROD IN BRUSHED NICKEL</t>
  </si>
  <si>
    <t>DR536-BN.JPG</t>
  </si>
  <si>
    <t>DR536-BNK</t>
  </si>
  <si>
    <t>36" DOWN ROD IN BURNISHED NICKEL</t>
  </si>
  <si>
    <t>DR536-BNK.JPG</t>
  </si>
  <si>
    <t>DR536-BNW</t>
  </si>
  <si>
    <t>36" DOWN ROD IN BRUSHED NICKEL WET</t>
  </si>
  <si>
    <t>DR536-BNW.JPG</t>
  </si>
  <si>
    <t>DR536-BS</t>
  </si>
  <si>
    <t>36" DOWN ROD IN BRUSHED STEEL</t>
  </si>
  <si>
    <t>DR536-BS.JPG</t>
  </si>
  <si>
    <t>DR536-BWH</t>
  </si>
  <si>
    <t>36" DOWN ROD IN BONE WHITE</t>
  </si>
  <si>
    <t>DR536-BWH.JPG</t>
  </si>
  <si>
    <t>DR536-CC</t>
  </si>
  <si>
    <t>36" DOWN ROD IN COGNAC</t>
  </si>
  <si>
    <t>DR536-CC.JPG</t>
  </si>
  <si>
    <t>DR536-CH</t>
  </si>
  <si>
    <t>36" DOWN ROD IN CHROME</t>
  </si>
  <si>
    <t>DR536-CH.JPG</t>
  </si>
  <si>
    <t>DR536-CL</t>
  </si>
  <si>
    <t>36" DOWN ROD IN COAL</t>
  </si>
  <si>
    <t>DR536-CL.JPG</t>
  </si>
  <si>
    <t>DR536-CPBR</t>
  </si>
  <si>
    <t>36" DOWN ROD IN COPPER BRONZE</t>
  </si>
  <si>
    <t>DR536-CPBR.JPG</t>
  </si>
  <si>
    <t>DR536-CT</t>
  </si>
  <si>
    <t>DR536-CT.JPG</t>
  </si>
  <si>
    <t>DR536-DBB</t>
  </si>
  <si>
    <t>36" DOWN ROD IN DARK BRUSHED BRONZE</t>
  </si>
  <si>
    <t>DR536-DBB.JPG</t>
  </si>
  <si>
    <t>DR536-DRB</t>
  </si>
  <si>
    <t>DR536-DRB.JPG</t>
  </si>
  <si>
    <t>DR536-DRFF</t>
  </si>
  <si>
    <t>36" DOWN ROD WET RATED IN DRIFTWOOD</t>
  </si>
  <si>
    <t>DR536-DRFF.JPG</t>
  </si>
  <si>
    <t>DR536-FB</t>
  </si>
  <si>
    <t>36" DOWN ROD IN FRENCH BEIGE</t>
  </si>
  <si>
    <t>DR536-FB.JPG</t>
  </si>
  <si>
    <t>DR536-GI</t>
  </si>
  <si>
    <t>36" DOWN ROD IN GREY IRON</t>
  </si>
  <si>
    <t>DR536-GI.JPG</t>
  </si>
  <si>
    <t>DR536-GL</t>
  </si>
  <si>
    <t>36" DOWN ROD IN GALVANIZED</t>
  </si>
  <si>
    <t>DR536-GL.JPG</t>
  </si>
  <si>
    <t>DR536-GM</t>
  </si>
  <si>
    <t>36" DOWN ROD IN GUN METAL</t>
  </si>
  <si>
    <t>DR536-GM.JPG</t>
  </si>
  <si>
    <t>D536</t>
  </si>
  <si>
    <t>DR536-GS</t>
  </si>
  <si>
    <t>DR536-GS.JPG</t>
  </si>
  <si>
    <t>DR536-HBZ</t>
  </si>
  <si>
    <t>36" DOWN ROD IN HEIRLOOM BRONZE</t>
  </si>
  <si>
    <t>DR536-HBZ.JPG</t>
  </si>
  <si>
    <t>DR536-HT</t>
  </si>
  <si>
    <t>DR536-HT.JPG</t>
  </si>
  <si>
    <t>DR536-IBR</t>
  </si>
  <si>
    <t>DR536-IBR.JPG</t>
  </si>
  <si>
    <t>DR536-KA</t>
  </si>
  <si>
    <t>36" DOWN ROD IN KOCOA</t>
  </si>
  <si>
    <t>DR536-KA.JPG</t>
  </si>
  <si>
    <t>DR536-LN</t>
  </si>
  <si>
    <t>36" DOWN ROD IN LIQUID NICKEL</t>
  </si>
  <si>
    <t>DR536-LN.JPG</t>
  </si>
  <si>
    <t>DR536-MCG</t>
  </si>
  <si>
    <t>36" DOWN ROD IN MOTTLED COPPER WITH GOLD HIGHLIGHT</t>
  </si>
  <si>
    <t>DR536-MCG.JPG</t>
  </si>
  <si>
    <t>DR536-MG</t>
  </si>
  <si>
    <t>36" DOWN ROD IN MAHOGANY</t>
  </si>
  <si>
    <t>DR536-MG.JPG</t>
  </si>
  <si>
    <t>DR536-MP</t>
  </si>
  <si>
    <t>36" DOWN ROD IN MAPLE</t>
  </si>
  <si>
    <t>DR536-MP.JPG</t>
  </si>
  <si>
    <t>DR536-MW</t>
  </si>
  <si>
    <t>DR536-MW.JPG</t>
  </si>
  <si>
    <t>DR536-ODK</t>
  </si>
  <si>
    <t>36" DOWN ROD WET RATED IN DISTRESSED KOA</t>
  </si>
  <si>
    <t>DR536-ODK.JPG</t>
  </si>
  <si>
    <t>DR536-ORB</t>
  </si>
  <si>
    <t>36" DOWN ROD IN OIL RUBBED BRONZE</t>
  </si>
  <si>
    <t>DR536-ORB.JPG</t>
  </si>
  <si>
    <t>DR536-PBL</t>
  </si>
  <si>
    <t>36" DOWN ROD IN PROVENCAL BLANC</t>
  </si>
  <si>
    <t>DR536-PBL.JPG</t>
  </si>
  <si>
    <t>DR536-PI</t>
  </si>
  <si>
    <t>36" DOWN ROD IN PATINA IRON</t>
  </si>
  <si>
    <t>DR536-PI.JPG</t>
  </si>
  <si>
    <t>DR536-PN</t>
  </si>
  <si>
    <t>36" DOWN ROD IN POLISHED NICKEL</t>
  </si>
  <si>
    <t>DR536-PN.JPG</t>
  </si>
  <si>
    <t>DR536-PW</t>
  </si>
  <si>
    <t>36" DOWN ROD IN PEWTER</t>
  </si>
  <si>
    <t>DR536-PW.JPG</t>
  </si>
  <si>
    <t>DR536-RD</t>
  </si>
  <si>
    <t>36" DOWN ROD IN RED</t>
  </si>
  <si>
    <t>DR536-RD.JPG</t>
  </si>
  <si>
    <t>DR536-RRB</t>
  </si>
  <si>
    <t>DR536-RRB.JPG</t>
  </si>
  <si>
    <t>DR536-RW</t>
  </si>
  <si>
    <t>36" DOWN ROD IN ROSEWOOD</t>
  </si>
  <si>
    <t>DR536-RW.JPG</t>
  </si>
  <si>
    <t>DR536-SDBK</t>
  </si>
  <si>
    <t>36" DOWN ROD IN SAND BLACK</t>
  </si>
  <si>
    <t>DR536-SDBK.JPG</t>
  </si>
  <si>
    <t>DR536-SI</t>
  </si>
  <si>
    <t>36" DOWN ROD IN SMOKED IRON</t>
  </si>
  <si>
    <t>DR536-SI.JPG</t>
  </si>
  <si>
    <t>DR536-SL</t>
  </si>
  <si>
    <t>36" DOWN ROD IN SILVER</t>
  </si>
  <si>
    <t>DR536-SL.JPG</t>
  </si>
  <si>
    <t>DR536-STW/GOW</t>
  </si>
  <si>
    <t>36" DOWN ROD IN STERLING AND GOLDEN WALNUT</t>
  </si>
  <si>
    <t>DR536-STW-GOW.JPG</t>
  </si>
  <si>
    <t>DR536-SWH</t>
  </si>
  <si>
    <t>36" DOWN ROD IN SHELL WHITE</t>
  </si>
  <si>
    <t>DR536-SWH.JPG</t>
  </si>
  <si>
    <t>DR536-TCL</t>
  </si>
  <si>
    <t>36" DOWN ROD IN TEXTURED COAL</t>
  </si>
  <si>
    <t>DR536-TCL.JPG</t>
  </si>
  <si>
    <t>DR536-TSP</t>
  </si>
  <si>
    <t>DR536-TSP.JPG</t>
  </si>
  <si>
    <t>DR536-TWW</t>
  </si>
  <si>
    <t>36" DOWN ROD IN TEXTURED WHITE</t>
  </si>
  <si>
    <t>DR536-TWW.JPG</t>
  </si>
  <si>
    <t>DR536-VB</t>
  </si>
  <si>
    <t>DR536-VB.JPG</t>
  </si>
  <si>
    <t>DR536-VP</t>
  </si>
  <si>
    <t>36" DOWN ROD IN VINEYARD PATINA</t>
  </si>
  <si>
    <t>DR536-VP.JPG</t>
  </si>
  <si>
    <t>DR536-VRT</t>
  </si>
  <si>
    <t>DR536-VRT.JPG</t>
  </si>
  <si>
    <t>DR536-WA</t>
  </si>
  <si>
    <t>36" DOWN ROD IN WEATHERED ALUMINUM</t>
  </si>
  <si>
    <t>DR536-WA.JPG</t>
  </si>
  <si>
    <t>DR536-WHF</t>
  </si>
  <si>
    <t>36" DOWN ROD IN FLAT WHITE</t>
  </si>
  <si>
    <t>DR536-WHF.JPG</t>
  </si>
  <si>
    <t>DR548-44</t>
  </si>
  <si>
    <t>48" DOWN ROD IN WHITE</t>
  </si>
  <si>
    <t>DR548-44.JPG</t>
  </si>
  <si>
    <t>DR548-ABDD</t>
  </si>
  <si>
    <t>48" DOWN ROD IN BRUSHED ALUMINUM</t>
  </si>
  <si>
    <t>DR548-ABDD.JPG</t>
  </si>
  <si>
    <t>F548</t>
  </si>
  <si>
    <t>DR548-BCW</t>
  </si>
  <si>
    <t>DR548-BCW.JPG</t>
  </si>
  <si>
    <t>DR548</t>
  </si>
  <si>
    <t>DR548-BG</t>
  </si>
  <si>
    <t>DR548-BG.JPG</t>
  </si>
  <si>
    <t>DR548-BI</t>
  </si>
  <si>
    <t>48" DOWN ROD IN BLACK IRON</t>
  </si>
  <si>
    <t>DR548-BI.JPG</t>
  </si>
  <si>
    <t>DR548-BK</t>
  </si>
  <si>
    <t>48" DOWN ROD IN BLACK</t>
  </si>
  <si>
    <t>DR548-BK.JPG</t>
  </si>
  <si>
    <t>DR548-BN</t>
  </si>
  <si>
    <t>48" DOWN ROD IN BRUSHED NICKEL</t>
  </si>
  <si>
    <t>DR548-BN.JPG</t>
  </si>
  <si>
    <t>DR548-BNK</t>
  </si>
  <si>
    <t>48" DOWN ROD IN BURNISHED NICKEL</t>
  </si>
  <si>
    <t>DR548-BNK.JPG</t>
  </si>
  <si>
    <t>DR548-BNW</t>
  </si>
  <si>
    <t>48" DOWN ROD IN BRUSHED NICKEL WET</t>
  </si>
  <si>
    <t>DR548-BNW.JPG</t>
  </si>
  <si>
    <t>DR548-BS</t>
  </si>
  <si>
    <t>48" DOWN ROD IN BRUSHED STEEL</t>
  </si>
  <si>
    <t>DR548-BS.JPG</t>
  </si>
  <si>
    <t>DR548-BWH</t>
  </si>
  <si>
    <t>48" DOWN ROD IN BONE WHITE</t>
  </si>
  <si>
    <t>DR548-BWH.JPG</t>
  </si>
  <si>
    <t>DR548-CC</t>
  </si>
  <si>
    <t>48" DOWN ROD IN COGNAC</t>
  </si>
  <si>
    <t>DR548-CC.JPG</t>
  </si>
  <si>
    <t>DR548-CH</t>
  </si>
  <si>
    <t>48" DOWN ROD IN CHROME</t>
  </si>
  <si>
    <t>DR548-CH.JPG</t>
  </si>
  <si>
    <t>DR548-CL</t>
  </si>
  <si>
    <t>48" DOWN ROD IN COAL</t>
  </si>
  <si>
    <t>DR548-CL.JPG</t>
  </si>
  <si>
    <t>DR548-CPBR</t>
  </si>
  <si>
    <t>48" DOWN ROD IN COPPER BRONZE</t>
  </si>
  <si>
    <t>DR548-CPBR.JPG</t>
  </si>
  <si>
    <t>DR548-CT</t>
  </si>
  <si>
    <t>DR548-CT.JPG</t>
  </si>
  <si>
    <t>DR548-DBB</t>
  </si>
  <si>
    <t>48" DOWN ROD IN DARK BRUSHED BRONZE</t>
  </si>
  <si>
    <t>DR548-DBB.JPG</t>
  </si>
  <si>
    <t>DR548-DRB</t>
  </si>
  <si>
    <t>DR548-DRB.JPG</t>
  </si>
  <si>
    <t>DR548-DRF</t>
  </si>
  <si>
    <t>48" DOWN ROD IN DRIFTWOOD</t>
  </si>
  <si>
    <t>DR548-DRF.JPG</t>
  </si>
  <si>
    <t>DR548-DRFF</t>
  </si>
  <si>
    <t>48" DOWN ROD WET RATED IN DRIFTWOOD</t>
  </si>
  <si>
    <t>DR548-DRFF.JPG</t>
  </si>
  <si>
    <t>DR548-FB</t>
  </si>
  <si>
    <t>48" DOWN ROD IN FRENCH BEIGE</t>
  </si>
  <si>
    <t>DR548-FB.JPG</t>
  </si>
  <si>
    <t>DR548-GI</t>
  </si>
  <si>
    <t>48" DOWN ROD IN GREY IRON</t>
  </si>
  <si>
    <t>DR548-GI.JPG</t>
  </si>
  <si>
    <t>DR548-GL</t>
  </si>
  <si>
    <t>48" DOWN ROD IN GALVANIZED</t>
  </si>
  <si>
    <t>DR548-GL.JPG</t>
  </si>
  <si>
    <t>DR548-GM</t>
  </si>
  <si>
    <t>48" DOWN ROD IN GUN METAL</t>
  </si>
  <si>
    <t>DR548-GM.JPG</t>
  </si>
  <si>
    <t>DR548-GS</t>
  </si>
  <si>
    <t>DR548-GS.JPG</t>
  </si>
  <si>
    <t>DR548-HBZ</t>
  </si>
  <si>
    <t>48" DOWN ROD IN HEIRLOOM BRONZE</t>
  </si>
  <si>
    <t>DR548-HBZ.JPG</t>
  </si>
  <si>
    <t>DR548-HT</t>
  </si>
  <si>
    <t>DR548-HT.JPG</t>
  </si>
  <si>
    <t>DR548-IBR</t>
  </si>
  <si>
    <t>DR548-IBR.JPG</t>
  </si>
  <si>
    <t>DR548-KA</t>
  </si>
  <si>
    <t>48" DOWN ROD IN KOCOA</t>
  </si>
  <si>
    <t>DR548-KA.JPG</t>
  </si>
  <si>
    <t>DR548-LN</t>
  </si>
  <si>
    <t>48" DOWN ROD IN LIQUID NICKEL</t>
  </si>
  <si>
    <t>DR548-LN.JPG</t>
  </si>
  <si>
    <t>DR548-MG</t>
  </si>
  <si>
    <t>48" DOWN ROD IN MAHOGANY</t>
  </si>
  <si>
    <t>DR548-MG.JPG</t>
  </si>
  <si>
    <t>DR548-MP</t>
  </si>
  <si>
    <t>48" DOWN ROD IN MAPLE</t>
  </si>
  <si>
    <t>DR548-MP.JPG</t>
  </si>
  <si>
    <t>DR548-MW</t>
  </si>
  <si>
    <t>DR548-MW.JPG</t>
  </si>
  <si>
    <t>DR548-ODK</t>
  </si>
  <si>
    <t>48" DOWN ROD WET RATED IN DISTRESSED KOA</t>
  </si>
  <si>
    <t>DR548-ODK.JPG</t>
  </si>
  <si>
    <t>DR548-ORB</t>
  </si>
  <si>
    <t>48" DOWN ROD IN OIL RUBBED BRONZE</t>
  </si>
  <si>
    <t>DR548-ORB.JPG</t>
  </si>
  <si>
    <t>DR548-PBL</t>
  </si>
  <si>
    <t>48" DOWN ROD IN PROVENCAL BLANC</t>
  </si>
  <si>
    <t>DR548-PBL.JPG</t>
  </si>
  <si>
    <t>DR548-PI</t>
  </si>
  <si>
    <t>48" DOWN ROD IN PATINA IRON</t>
  </si>
  <si>
    <t>DR548-PI.JPG</t>
  </si>
  <si>
    <t>DR548-PN</t>
  </si>
  <si>
    <t>48" DOWN ROD IN POLISHED NICKEL</t>
  </si>
  <si>
    <t>DR548-PN.JPG</t>
  </si>
  <si>
    <t>DR548-PW</t>
  </si>
  <si>
    <t>48" DOWN ROD IN PEWTER</t>
  </si>
  <si>
    <t>DR548-PW.JPG</t>
  </si>
  <si>
    <t>DR548-RD</t>
  </si>
  <si>
    <t>48" DOWN ROD IN RED</t>
  </si>
  <si>
    <t>DR548-RD.JPG</t>
  </si>
  <si>
    <t>DR548-RRB</t>
  </si>
  <si>
    <t>DR548-RRB.JPG</t>
  </si>
  <si>
    <t>DR548-RW</t>
  </si>
  <si>
    <t>48" DOWN ROD IN ROSEWOOD</t>
  </si>
  <si>
    <t>DR548-RW.JPG</t>
  </si>
  <si>
    <t>DR548-SDBK</t>
  </si>
  <si>
    <t>48" DOWN ROD IN SAND BLACK</t>
  </si>
  <si>
    <t>DR548-SDBK.JPG</t>
  </si>
  <si>
    <t>DR548-SI</t>
  </si>
  <si>
    <t>48" DOWN ROD IN SMOKED IRON</t>
  </si>
  <si>
    <t>DR548-SI.JPG</t>
  </si>
  <si>
    <t>DR548-SL</t>
  </si>
  <si>
    <t>48" DOWN ROD IN SILVER</t>
  </si>
  <si>
    <t>DR548-SL.JPG</t>
  </si>
  <si>
    <t>DR548-STW/GOW</t>
  </si>
  <si>
    <t>48" DOWN ROD IN STERLING AND GOLDEN WALNUT</t>
  </si>
  <si>
    <t>DR548-STW-GOW.JPG</t>
  </si>
  <si>
    <t>DR548-SWH</t>
  </si>
  <si>
    <t>48" DOWN ROD IN SHELL WHITE</t>
  </si>
  <si>
    <t>DR548-SWH.JPG</t>
  </si>
  <si>
    <t>DR548-TCL</t>
  </si>
  <si>
    <t>48" DOWN ROD IN TEXTURED COAL</t>
  </si>
  <si>
    <t>DR548-TCL.JPG</t>
  </si>
  <si>
    <t>DR548-TSP</t>
  </si>
  <si>
    <t>DR548-TSP.JPG</t>
  </si>
  <si>
    <t>DR548-TWW</t>
  </si>
  <si>
    <t>48" DOWN ROD IN TEXTURED WHITE</t>
  </si>
  <si>
    <t>DR548-TWW.JPG</t>
  </si>
  <si>
    <t>DR548-VB</t>
  </si>
  <si>
    <t>DR548-VB.JPG</t>
  </si>
  <si>
    <t>DR548-VP</t>
  </si>
  <si>
    <t>48" DOWN ROD IN VINEYARD PATINA</t>
  </si>
  <si>
    <t>DR548-VP.JPG</t>
  </si>
  <si>
    <t>DR548-VRT</t>
  </si>
  <si>
    <t>DR548-VRT.JPG</t>
  </si>
  <si>
    <t>DR548-WA</t>
  </si>
  <si>
    <t>48" DOWN ROD IN WEATHERED ALUMINUM</t>
  </si>
  <si>
    <t>DR548-WA.JPG</t>
  </si>
  <si>
    <t>DR548-WHF</t>
  </si>
  <si>
    <t>48" DOWN ROD IN FLAT WHITE</t>
  </si>
  <si>
    <t>DR548-WHF.JPG</t>
  </si>
  <si>
    <t>DR560-44</t>
  </si>
  <si>
    <t>60" DOWN ROD IN WHITE</t>
  </si>
  <si>
    <t>DR560-44.JPG</t>
  </si>
  <si>
    <t>DR560-ABDD</t>
  </si>
  <si>
    <t>60" DOWN ROD IN BRUSHED ALUMINUM</t>
  </si>
  <si>
    <t>DR560-ABDD.JPG</t>
  </si>
  <si>
    <t>DR560-BCW</t>
  </si>
  <si>
    <t>DR560-BCW.JPG</t>
  </si>
  <si>
    <t>DR60</t>
  </si>
  <si>
    <t>DR560-BG</t>
  </si>
  <si>
    <t>DR560-BG.JPG</t>
  </si>
  <si>
    <t>DR560-BI</t>
  </si>
  <si>
    <t>60" DOWN ROD IN BLACK IRON</t>
  </si>
  <si>
    <t>DR560-BI.JPG</t>
  </si>
  <si>
    <t>DR560-BK</t>
  </si>
  <si>
    <t>60" DOWN ROD IN BLACK</t>
  </si>
  <si>
    <t>DR560-BK.JPG</t>
  </si>
  <si>
    <t>DR560-BN</t>
  </si>
  <si>
    <t>60" DOWN ROD IN BRUSHED NICKEL</t>
  </si>
  <si>
    <t>DR560-BN.JPG</t>
  </si>
  <si>
    <t>DR560-BNK</t>
  </si>
  <si>
    <t>60" DOWN ROD IN BURNISHED NICKEL</t>
  </si>
  <si>
    <t>DR560-BNK.JPG</t>
  </si>
  <si>
    <t>DR560-BNW</t>
  </si>
  <si>
    <t>60" DOWN ROD IN BRUSHED NICKEL WET</t>
  </si>
  <si>
    <t>DR560-BNW.JPG</t>
  </si>
  <si>
    <t>DR560-BS</t>
  </si>
  <si>
    <t>60" DOWN ROD IN BRUSHED STEEL</t>
  </si>
  <si>
    <t>DR560-BS.JPG</t>
  </si>
  <si>
    <t>DR560-BWH</t>
  </si>
  <si>
    <t>60" DOWN ROD IN BONE WHITE</t>
  </si>
  <si>
    <t>DR560-BWH.JPG</t>
  </si>
  <si>
    <t>DR560</t>
  </si>
  <si>
    <t>DR560-CC</t>
  </si>
  <si>
    <t>60" DOWN ROD IN COGNAC</t>
  </si>
  <si>
    <t>DR560-CC.JPG</t>
  </si>
  <si>
    <t>DR560-CH</t>
  </si>
  <si>
    <t>60" DOWN ROD IN CHROME</t>
  </si>
  <si>
    <t>DR560-CH.JPG</t>
  </si>
  <si>
    <t>DR560-CL</t>
  </si>
  <si>
    <t>60" DOWN ROD IN COAL</t>
  </si>
  <si>
    <t>DR560-CL.JPG</t>
  </si>
  <si>
    <t>DR560-CPBR</t>
  </si>
  <si>
    <t>60" DOWN ROD IN COPPER BRONZE</t>
  </si>
  <si>
    <t>DR560-CPBR.JPG</t>
  </si>
  <si>
    <t>DR560-CT</t>
  </si>
  <si>
    <t>DR560-CT.JPG</t>
  </si>
  <si>
    <t>DR560-DBB</t>
  </si>
  <si>
    <t>60" DOWN ROD IN DARK BRUSHED BRONZE</t>
  </si>
  <si>
    <t>DR560-DBB.JPG</t>
  </si>
  <si>
    <t>DR560-DRB</t>
  </si>
  <si>
    <t>DR560-DRB.JPG</t>
  </si>
  <si>
    <t>DR560-DRF</t>
  </si>
  <si>
    <t>60" DOWN ROD IN DRIFTWOOD</t>
  </si>
  <si>
    <t>DR560-DRF.JPG</t>
  </si>
  <si>
    <t>DR560-DRFF</t>
  </si>
  <si>
    <t>60" DOWN ROD WET RATED IN DRIFTWOOD</t>
  </si>
  <si>
    <t>DR560-DRFF.JPG</t>
  </si>
  <si>
    <t>DR560-FB</t>
  </si>
  <si>
    <t>60" DOWN ROD IN FRENCH BEIGE</t>
  </si>
  <si>
    <t>DR560-FB.JPG</t>
  </si>
  <si>
    <t>DR560-GI</t>
  </si>
  <si>
    <t>60" DOWN ROD IN GREY IRON</t>
  </si>
  <si>
    <t>DR560-GI.JPG</t>
  </si>
  <si>
    <t>DR560-GL</t>
  </si>
  <si>
    <t>60" DOWN ROD IN GALVANIZED</t>
  </si>
  <si>
    <t>DR560-GL.JPG</t>
  </si>
  <si>
    <t>DR560-GM</t>
  </si>
  <si>
    <t>60" DOWN ROD IN GUN METAL</t>
  </si>
  <si>
    <t>DR560-GM.JPG</t>
  </si>
  <si>
    <t>DR560-GS</t>
  </si>
  <si>
    <t>DR560-GS.JPG</t>
  </si>
  <si>
    <t>DR560-HBZ</t>
  </si>
  <si>
    <t>60" DOWN ROD IN HEIRLOOM BRONZE</t>
  </si>
  <si>
    <t>DR560-HBZ.JPG</t>
  </si>
  <si>
    <t>DR560-HT</t>
  </si>
  <si>
    <t>DR560-HT.JPG</t>
  </si>
  <si>
    <t>DR560-KA</t>
  </si>
  <si>
    <t>60" DOWN ROD IN KOCOA</t>
  </si>
  <si>
    <t>DR560-KA.JPG</t>
  </si>
  <si>
    <t>DR560-LN</t>
  </si>
  <si>
    <t>60" DOWN ROD IN LIQUID NICKEL</t>
  </si>
  <si>
    <t>DR560-LN.JPG</t>
  </si>
  <si>
    <t>DR560-MCG</t>
  </si>
  <si>
    <t>60" DOWN ROD IN MOTTLED COPPER WITH GOLD HIGHLIGHT</t>
  </si>
  <si>
    <t>DR560-MCG.JPG</t>
  </si>
  <si>
    <t>DR560-MG</t>
  </si>
  <si>
    <t>60" DOWN ROD IN MAHOGANY</t>
  </si>
  <si>
    <t>DR560-MG.JPG</t>
  </si>
  <si>
    <t>DR560-MP</t>
  </si>
  <si>
    <t>60" DOWN ROD IN MAPLE</t>
  </si>
  <si>
    <t>DR560-MP.JPG</t>
  </si>
  <si>
    <t>DR560-MW</t>
  </si>
  <si>
    <t>DR560-MW.JPG</t>
  </si>
  <si>
    <t>DR560-ODK</t>
  </si>
  <si>
    <t>60" DOWN ROD WET RATED IN DISTRESSED KOA</t>
  </si>
  <si>
    <t>DR560-ODK.JPG</t>
  </si>
  <si>
    <t>DR560-ORB</t>
  </si>
  <si>
    <t>60" DOWN ROD IN OIL RUBBED BRONZE</t>
  </si>
  <si>
    <t>DR560-ORB.JPG</t>
  </si>
  <si>
    <t>DR560-PBL</t>
  </si>
  <si>
    <t>60" DOWN ROD IN PROVENCAL BLANC</t>
  </si>
  <si>
    <t>DR560-PBL.JPG</t>
  </si>
  <si>
    <t>DR560-PI</t>
  </si>
  <si>
    <t>60" DOWN ROD IN PATINA IRON</t>
  </si>
  <si>
    <t>DR560-PI.JPG</t>
  </si>
  <si>
    <t>DR560-PN</t>
  </si>
  <si>
    <t>60" DOWN ROD IN POLISHED NICKEL</t>
  </si>
  <si>
    <t>DR560-PN.JPG</t>
  </si>
  <si>
    <t>DR560-PW</t>
  </si>
  <si>
    <t>60" DOWN ROD IN PEWTER</t>
  </si>
  <si>
    <t>DR560-PW.JPG</t>
  </si>
  <si>
    <t>DR560-RD</t>
  </si>
  <si>
    <t>60" DOWN ROD IN RED</t>
  </si>
  <si>
    <t>DR560-RD.JPG</t>
  </si>
  <si>
    <t>DR560-RRB</t>
  </si>
  <si>
    <t>DR560-RRB.JPG</t>
  </si>
  <si>
    <t>DR560-RW</t>
  </si>
  <si>
    <t>60" DOWN ROD IN ROSEWOOD</t>
  </si>
  <si>
    <t>DR560-RW.JPG</t>
  </si>
  <si>
    <t>DR560-SDBK</t>
  </si>
  <si>
    <t>60" DOWN ROD IN SAND BLACK</t>
  </si>
  <si>
    <t>DR560-SDBK.JPG</t>
  </si>
  <si>
    <t>DR560-SI</t>
  </si>
  <si>
    <t>60" DOWN ROD IN SMOKED IRON</t>
  </si>
  <si>
    <t>DR560-SI.JPG</t>
  </si>
  <si>
    <t>DR560-SL</t>
  </si>
  <si>
    <t>60" DOWN ROD IN SILVER</t>
  </si>
  <si>
    <t>DR560-SL.JPG</t>
  </si>
  <si>
    <t>DR560-STW/GOW</t>
  </si>
  <si>
    <t>60" DOWN ROD IN STERLING AND GOLDEN WALNUT</t>
  </si>
  <si>
    <t>DR560-STW-GOW.JPG</t>
  </si>
  <si>
    <t>DR560-SWH</t>
  </si>
  <si>
    <t>60" DOWN ROD IN SHELL WHITE</t>
  </si>
  <si>
    <t>DR560-SWH.JPG</t>
  </si>
  <si>
    <t>DR560-TCL</t>
  </si>
  <si>
    <t>60" DOWN ROD IN TEXTURED COAL</t>
  </si>
  <si>
    <t>DR560-TCL.JPG</t>
  </si>
  <si>
    <t>DR560-TSP</t>
  </si>
  <si>
    <t>DR560-TSP.JPG</t>
  </si>
  <si>
    <t>DR560-TWW</t>
  </si>
  <si>
    <t>60" DOWN ROD IN TEXTURED WHITE</t>
  </si>
  <si>
    <t>DR560-TWW.JPG</t>
  </si>
  <si>
    <t>DR560-VB</t>
  </si>
  <si>
    <t>DR560-VB.JPG</t>
  </si>
  <si>
    <t>DR560-VP</t>
  </si>
  <si>
    <t>60" DOWN ROD IN VINEYARD PATINA</t>
  </si>
  <si>
    <t>DR560-VP.JPG</t>
  </si>
  <si>
    <t>DR560-VRT</t>
  </si>
  <si>
    <t>DR560-VRT.JPG</t>
  </si>
  <si>
    <t>DR560-WA</t>
  </si>
  <si>
    <t>60" DOWN ROD IN WEATHERED ALUMINUM</t>
  </si>
  <si>
    <t>DR560-WA.JPG</t>
  </si>
  <si>
    <t>DR560-WHF</t>
  </si>
  <si>
    <t>60" DOWN ROD IN FLAT WHITE</t>
  </si>
  <si>
    <t>DR560-WHF.JPG</t>
  </si>
  <si>
    <t>DR572-44</t>
  </si>
  <si>
    <t>72" DOWN ROD IN WHITE</t>
  </si>
  <si>
    <t>DR572-44.JPG</t>
  </si>
  <si>
    <t>DR572-ABDD</t>
  </si>
  <si>
    <t>72" DOWN ROD IN BRUSHED ALUMINUM</t>
  </si>
  <si>
    <t>DR572-ABDD.JPG</t>
  </si>
  <si>
    <t>DR572-BCW</t>
  </si>
  <si>
    <t>DR572-BCW.JPG</t>
  </si>
  <si>
    <t>DR572</t>
  </si>
  <si>
    <t>DR572-BG</t>
  </si>
  <si>
    <t>DR572-BG.JPG</t>
  </si>
  <si>
    <t>DR572-BI</t>
  </si>
  <si>
    <t>72" DOWN ROD IN BLACK IRON</t>
  </si>
  <si>
    <t>DR572-BI.JPG</t>
  </si>
  <si>
    <t>DR572-BK</t>
  </si>
  <si>
    <t>72" DOWN ROD IN BLACK</t>
  </si>
  <si>
    <t>DR572-BK.JPG</t>
  </si>
  <si>
    <t>DR572-BN</t>
  </si>
  <si>
    <t>72" DOWN ROD IN BRUSHED NICKEL</t>
  </si>
  <si>
    <t>DR572-BN.JPG</t>
  </si>
  <si>
    <t>DR572-BNK</t>
  </si>
  <si>
    <t>72" DOWN ROD IN BURNISHED NICKEL</t>
  </si>
  <si>
    <t>DR572-BNK.JPG</t>
  </si>
  <si>
    <t>DR572-BNW</t>
  </si>
  <si>
    <t>72" DOWN ROD IN BRUSHED NICKEL WET</t>
  </si>
  <si>
    <t>DR572-BNW.JPG</t>
  </si>
  <si>
    <t>DR572-BS</t>
  </si>
  <si>
    <t>72" DOWN ROD IN BRUSHED STEEL</t>
  </si>
  <si>
    <t>DR572-BS.JPG</t>
  </si>
  <si>
    <t>DR572-BWH</t>
  </si>
  <si>
    <t>72" DOWN ROD IN BONE WHITE</t>
  </si>
  <si>
    <t>DR572-BWH.JPG</t>
  </si>
  <si>
    <t>DR572-CC</t>
  </si>
  <si>
    <t>72" DOWN ROD IN COGNAC</t>
  </si>
  <si>
    <t>DR572-CC.JPG</t>
  </si>
  <si>
    <t>DR572-CH</t>
  </si>
  <si>
    <t>72" DOWN ROD IN CHROME</t>
  </si>
  <si>
    <t>DR572-CH.JPG</t>
  </si>
  <si>
    <t>DR572-CL</t>
  </si>
  <si>
    <t>72" DOWN ROD IN COAL</t>
  </si>
  <si>
    <t>DR572-CL.JPG</t>
  </si>
  <si>
    <t>DR572-CPBR</t>
  </si>
  <si>
    <t>72" DOWN ROD IN COPPER BRONZE</t>
  </si>
  <si>
    <t>DR572-CPBR.JPG</t>
  </si>
  <si>
    <t>DR572-CT</t>
  </si>
  <si>
    <t>DR572-CT.JPG</t>
  </si>
  <si>
    <t>DR572-DBB</t>
  </si>
  <si>
    <t>72" DOWN ROD IN DARK BRUSHED BRONZE</t>
  </si>
  <si>
    <t>DR572-DBB.JPG</t>
  </si>
  <si>
    <t>DR572-DRB</t>
  </si>
  <si>
    <t>DR572-DRB.JPG</t>
  </si>
  <si>
    <t>DR572-DRF</t>
  </si>
  <si>
    <t>72" DOWN ROD IN DRIFTWOOD</t>
  </si>
  <si>
    <t>DR572-DRF.JPG</t>
  </si>
  <si>
    <t>DR572-DRFF</t>
  </si>
  <si>
    <t>72" DOWN ROD WET RATED IN DRIFTWOOD</t>
  </si>
  <si>
    <t>DR572-DRFF.JPG</t>
  </si>
  <si>
    <t>DR572-FB</t>
  </si>
  <si>
    <t>72" DOWN ROD IN FRENCH BEIGE</t>
  </si>
  <si>
    <t>DR572-FB.JPG</t>
  </si>
  <si>
    <t>DR572-GI</t>
  </si>
  <si>
    <t>72" DOWN ROD IN GREY IRON</t>
  </si>
  <si>
    <t>DR572-GI.JPG</t>
  </si>
  <si>
    <t>DR572-GL</t>
  </si>
  <si>
    <t>72" DOWN ROD IN GALVANIZED</t>
  </si>
  <si>
    <t>DR572-GL.JPG</t>
  </si>
  <si>
    <t>DR572-GM</t>
  </si>
  <si>
    <t>72" DOWN ROD IN GUN METAL</t>
  </si>
  <si>
    <t>DR572-GM.JPG</t>
  </si>
  <si>
    <t>DR572-GS</t>
  </si>
  <si>
    <t>DR572-GS.JPG</t>
  </si>
  <si>
    <t>DR572-HBZ</t>
  </si>
  <si>
    <t>72" DOWN ROD IN HEIRLOOM BRONZE</t>
  </si>
  <si>
    <t>DR572-HBZ.JPG</t>
  </si>
  <si>
    <t>DR572-HT</t>
  </si>
  <si>
    <t>DR572-HT.JPG</t>
  </si>
  <si>
    <t>DR572-KA</t>
  </si>
  <si>
    <t>72" DOWN ROD IN KOCOA</t>
  </si>
  <si>
    <t>DR572-KA.JPG</t>
  </si>
  <si>
    <t>DR572-LN</t>
  </si>
  <si>
    <t>72" DOWN ROD IN LIQUID NICKEL</t>
  </si>
  <si>
    <t>DR572-LN.JPG</t>
  </si>
  <si>
    <t>DR572-MCG</t>
  </si>
  <si>
    <t>72" DOWN ROD IN MOTTLED COPPER WITH GOLD HIGHLIGHT</t>
  </si>
  <si>
    <t>DR572-MCG.JPG</t>
  </si>
  <si>
    <t>DR572-MG</t>
  </si>
  <si>
    <t>72" DOWN ROD IN MAHOGANY</t>
  </si>
  <si>
    <t>DR572-MG.JPG</t>
  </si>
  <si>
    <t>DR572-MP</t>
  </si>
  <si>
    <t>72" DOWN ROD IN MAPLE</t>
  </si>
  <si>
    <t>DR572-MP.JPG</t>
  </si>
  <si>
    <t>DR572-MW</t>
  </si>
  <si>
    <t>DR572-MW.JPG</t>
  </si>
  <si>
    <t>DR572-ODK</t>
  </si>
  <si>
    <t>72" DOWN ROD WET RATED IN DISTRESSED KOA</t>
  </si>
  <si>
    <t>DR572-ODK.JPG</t>
  </si>
  <si>
    <t>DR572-ORB</t>
  </si>
  <si>
    <t>72" DOWN ROD IN OIL RUBBED BRONZE</t>
  </si>
  <si>
    <t>DR572-ORB.JPG</t>
  </si>
  <si>
    <t>DR572-PBL</t>
  </si>
  <si>
    <t>72" DOWN ROD IN PROVENCAL BLANC</t>
  </si>
  <si>
    <t>DR572-PBL.JPG</t>
  </si>
  <si>
    <t>DR572-PI</t>
  </si>
  <si>
    <t>72" DOWN ROD IN PATINA IRON</t>
  </si>
  <si>
    <t>DR572-PI.JPG</t>
  </si>
  <si>
    <t>DR572-PN</t>
  </si>
  <si>
    <t>72" DOWN ROD IN POLISHED NICKEL</t>
  </si>
  <si>
    <t>DR572-PN.JPG</t>
  </si>
  <si>
    <t>DR572-PW</t>
  </si>
  <si>
    <t>72" DOWN ROD IN PEWTER</t>
  </si>
  <si>
    <t>DR572-PW.JPG</t>
  </si>
  <si>
    <t>DR572-RD</t>
  </si>
  <si>
    <t>72" DOWN ROD IN RED</t>
  </si>
  <si>
    <t>DR572-RD.JPG</t>
  </si>
  <si>
    <t>DR572-RRB</t>
  </si>
  <si>
    <t>DR572-RRB.JPG</t>
  </si>
  <si>
    <t>DR572-RW</t>
  </si>
  <si>
    <t>72" DOWN ROD IN ROSEWOOD</t>
  </si>
  <si>
    <t>DR572-RW.JPG</t>
  </si>
  <si>
    <t>DR572-SDBK</t>
  </si>
  <si>
    <t>72" DOWN ROD IN SAND BLACK</t>
  </si>
  <si>
    <t>DR572-SDBK.JPG</t>
  </si>
  <si>
    <t>DR572-SI</t>
  </si>
  <si>
    <t>72" DOWN ROD IN SMOKED IRON</t>
  </si>
  <si>
    <t>DR572-SI.JPG</t>
  </si>
  <si>
    <t>DR572-SL</t>
  </si>
  <si>
    <t>72" DOWN ROD IN SILVER</t>
  </si>
  <si>
    <t>DR572-SL.JPG</t>
  </si>
  <si>
    <t>DR572-STW/GOW</t>
  </si>
  <si>
    <t>72" DOWN ROD IN STERLING AND GOLDEN WALNUT</t>
  </si>
  <si>
    <t>DR572-STW-GOW.JPG</t>
  </si>
  <si>
    <t>DR572-SWH</t>
  </si>
  <si>
    <t>72" DOWN ROD IN SHELL WHITE</t>
  </si>
  <si>
    <t>DR572-SWH.JPG</t>
  </si>
  <si>
    <t>DR572-TCL</t>
  </si>
  <si>
    <t>72" DOWN ROD IN TEXTURED COAL</t>
  </si>
  <si>
    <t>DR572-TCL.JPG</t>
  </si>
  <si>
    <t>DR572-TSP</t>
  </si>
  <si>
    <t>DR572-TSP.JPG</t>
  </si>
  <si>
    <t>DR572-TWW</t>
  </si>
  <si>
    <t>72" DOWN ROD IN TEXTURED WHITE</t>
  </si>
  <si>
    <t>DR572-TWW.JPG</t>
  </si>
  <si>
    <t>DR572-VB</t>
  </si>
  <si>
    <t>DR572-VB.JPG</t>
  </si>
  <si>
    <t>DR572-VP</t>
  </si>
  <si>
    <t>72" DOWN ROD IN VINEYARD PATINA</t>
  </si>
  <si>
    <t>DR572-VP.JPG</t>
  </si>
  <si>
    <t>DR572-VRT</t>
  </si>
  <si>
    <t>DR572-VRT.JPG</t>
  </si>
  <si>
    <t>DR572-WA</t>
  </si>
  <si>
    <t>72" DOWN ROD IN WEATHERED ALUMINUM</t>
  </si>
  <si>
    <t>DR572-WA.JPG</t>
  </si>
  <si>
    <t>DR572-WHF</t>
  </si>
  <si>
    <t>72" DOWN ROD IN FLAT WHITE</t>
  </si>
  <si>
    <t>DR572-WHF.JPG</t>
  </si>
  <si>
    <t>F1000-BN</t>
  </si>
  <si>
    <t>DYNO - LED 52" CEILING FAN</t>
  </si>
  <si>
    <t>FANS</t>
  </si>
  <si>
    <t>F1000-BN.JPG</t>
  </si>
  <si>
    <t>52 INCH CEILING FAN</t>
  </si>
  <si>
    <t>DYNO</t>
  </si>
  <si>
    <t>Z42, LED</t>
  </si>
  <si>
    <t>TRANSITIONAL</t>
  </si>
  <si>
    <t>ETCHED LENS</t>
  </si>
  <si>
    <t>FROSTED</t>
  </si>
  <si>
    <t>12 DEGREES</t>
  </si>
  <si>
    <t>Medium Maple/Dark Walnut</t>
  </si>
  <si>
    <t>F1000</t>
  </si>
  <si>
    <t>PLYWOOD CONST+ALUMINUM+ZINC</t>
  </si>
  <si>
    <t>F1000-BN/SL</t>
  </si>
  <si>
    <t>52 INCH CEILING FAN WITH LED</t>
  </si>
  <si>
    <t>DYNO LED</t>
  </si>
  <si>
    <t>Z42 LED</t>
  </si>
  <si>
    <t>BRUSHED NICKEL W/ SILVER</t>
  </si>
  <si>
    <t>PC LENS</t>
  </si>
  <si>
    <t>F1000-BN-SL.JPG</t>
  </si>
  <si>
    <t>SILVER/AGED WOOD FINISH</t>
  </si>
  <si>
    <t>F1000-BNK</t>
  </si>
  <si>
    <t>F1000-BNK.JPG</t>
  </si>
  <si>
    <t>SAVANNAH GRAY</t>
  </si>
  <si>
    <t>F1000-HBZ</t>
  </si>
  <si>
    <t>F1000-HBZ.JPG</t>
  </si>
  <si>
    <t>BARNWOOD</t>
  </si>
  <si>
    <t>F1000-ORB</t>
  </si>
  <si>
    <t>52 INCH LED CEILING FAN</t>
  </si>
  <si>
    <t>LED</t>
  </si>
  <si>
    <t>F1000-ORB.JPG</t>
  </si>
  <si>
    <t>MEDIUM MAPLE/DARK WALNUT</t>
  </si>
  <si>
    <t>PLYWOOD+ALUMINUM+ZINC</t>
  </si>
  <si>
    <t>F1000-WH</t>
  </si>
  <si>
    <t>F1000-WH.JPG</t>
  </si>
  <si>
    <t>White</t>
  </si>
  <si>
    <t>PLYWOOD CONSTRUCTION+ALUMINUM+ZINC</t>
  </si>
  <si>
    <t>Contemporary</t>
  </si>
  <si>
    <t>F304L-BN/SL</t>
  </si>
  <si>
    <t>LED CEILING FAN</t>
  </si>
  <si>
    <t>ETCHED OPAL</t>
  </si>
  <si>
    <t>F304L-BN-SL.JPG</t>
  </si>
  <si>
    <t>23 DEGREES</t>
  </si>
  <si>
    <t>F304</t>
  </si>
  <si>
    <t>STEEL+ABS</t>
  </si>
  <si>
    <t>F304L-ORB/MM</t>
  </si>
  <si>
    <t>F304L-ORB-MM.JPG</t>
  </si>
  <si>
    <t>MEDIUM MAPLE</t>
  </si>
  <si>
    <t>F307-BN</t>
  </si>
  <si>
    <t>15" 3 BLADE INDOOR/OUTDOOR FAN</t>
  </si>
  <si>
    <t>ANYWHERE - 15" OSCILLATING FAN</t>
  </si>
  <si>
    <t>ANYWHERE</t>
  </si>
  <si>
    <t>F307-BN.JPG</t>
  </si>
  <si>
    <t>F307</t>
  </si>
  <si>
    <t>F307-MBK</t>
  </si>
  <si>
    <t>3 BLADE INDOOR/OUTDOOR FAN</t>
  </si>
  <si>
    <t>MATTE BLACK</t>
  </si>
  <si>
    <t>F307-MBK.JPG</t>
  </si>
  <si>
    <t>F310-BN</t>
  </si>
  <si>
    <t>10 INCH TABLE FAN</t>
  </si>
  <si>
    <t>RETRO II - TABLE FAN</t>
  </si>
  <si>
    <t>RETRO STYLE FAN</t>
  </si>
  <si>
    <t>F310-BN.JPG</t>
  </si>
  <si>
    <t>F310</t>
  </si>
  <si>
    <t>METAL</t>
  </si>
  <si>
    <t>F402-BNW</t>
  </si>
  <si>
    <t>CEILING FAN</t>
  </si>
  <si>
    <t>T4(E11) Mini Cand Frosted</t>
  </si>
  <si>
    <t>CONTEMPORARY</t>
  </si>
  <si>
    <t>Etched Opal</t>
  </si>
  <si>
    <t>F402-BNW.JPG</t>
  </si>
  <si>
    <t>F402</t>
  </si>
  <si>
    <t>ABS COnstruction</t>
  </si>
  <si>
    <t>F402-ORB</t>
  </si>
  <si>
    <t>T4(E11) Mini Cand Halogen Frosted</t>
  </si>
  <si>
    <t>F402-ORB.JPG</t>
  </si>
  <si>
    <t>20 degrees</t>
  </si>
  <si>
    <t>ABS Construction</t>
  </si>
  <si>
    <t>F410L-BS</t>
  </si>
  <si>
    <t>36" LED CEILING FAN</t>
  </si>
  <si>
    <t>SLANT - LED 36" CEILING FAN</t>
  </si>
  <si>
    <t>SLANT</t>
  </si>
  <si>
    <t>F410L-BS.JPG</t>
  </si>
  <si>
    <t>20 DEGREES</t>
  </si>
  <si>
    <t>F410L</t>
  </si>
  <si>
    <t>METAL+ALUM</t>
  </si>
  <si>
    <t>F410L-ORB</t>
  </si>
  <si>
    <t>F410L-ORB.JPG</t>
  </si>
  <si>
    <t>F410L-WH</t>
  </si>
  <si>
    <t>F410L-WH.JPG</t>
  </si>
  <si>
    <t>F474L-BNW</t>
  </si>
  <si>
    <t>52" LED FLUSH MOUNT CEILING FAN</t>
  </si>
  <si>
    <t>WHITE OPAL GLASS</t>
  </si>
  <si>
    <t>F474L-BNW.JPG</t>
  </si>
  <si>
    <t>14 DEGREES</t>
  </si>
  <si>
    <t>F474L</t>
  </si>
  <si>
    <t>ABS+STEEL+METAL</t>
  </si>
  <si>
    <t>F474L-ORB</t>
  </si>
  <si>
    <t>PIETRA GLASS</t>
  </si>
  <si>
    <t>F474L-ORB.JPG</t>
  </si>
  <si>
    <t>TAUPE</t>
  </si>
  <si>
    <t>F474L-WH</t>
  </si>
  <si>
    <t>F474L-WH.JPG</t>
  </si>
  <si>
    <t>F476L-BNW</t>
  </si>
  <si>
    <t>52" LED CEILING FAN</t>
  </si>
  <si>
    <t>F476L-BNW.JPG</t>
  </si>
  <si>
    <t>14 degrees</t>
  </si>
  <si>
    <t>F476L</t>
  </si>
  <si>
    <t>F476L-ORB</t>
  </si>
  <si>
    <t>F476L-ORB.JPG</t>
  </si>
  <si>
    <t>F476L-WH</t>
  </si>
  <si>
    <t>F476L-WH.JPG</t>
  </si>
  <si>
    <t>F477L-BNW</t>
  </si>
  <si>
    <t>58" LED CEILING FAN</t>
  </si>
  <si>
    <t>F477L-BNW.JPG</t>
  </si>
  <si>
    <t>F477L</t>
  </si>
  <si>
    <t>METAL+ABS</t>
  </si>
  <si>
    <t>F477L-ORB</t>
  </si>
  <si>
    <t>tinted opal</t>
  </si>
  <si>
    <t>F477L-ORB.JPG</t>
  </si>
  <si>
    <t>F477L-WH</t>
  </si>
  <si>
    <t>F477L-WH.JPG</t>
  </si>
  <si>
    <t>F502-BCW</t>
  </si>
  <si>
    <t>TRADITIONAL</t>
  </si>
  <si>
    <t>F502-BCW.JPG</t>
  </si>
  <si>
    <t>F500</t>
  </si>
  <si>
    <t>F510L-BS</t>
  </si>
  <si>
    <t>26" LED CEILING FAN</t>
  </si>
  <si>
    <t>SPACESAVER - LED 26" CEILING FAN</t>
  </si>
  <si>
    <t>SPACESAVER LED</t>
  </si>
  <si>
    <t>F510L-BS.JPG</t>
  </si>
  <si>
    <t>F510L</t>
  </si>
  <si>
    <t>PC</t>
  </si>
  <si>
    <t>ABS STEEL METAL</t>
  </si>
  <si>
    <t>F510L-ORB</t>
  </si>
  <si>
    <t>F510L-ORB.JPG</t>
  </si>
  <si>
    <t>F510L-WH</t>
  </si>
  <si>
    <t>F510L-WH.JPG</t>
  </si>
  <si>
    <t>F513-BN</t>
  </si>
  <si>
    <t>NEW ERA - 52" CEILING FAN</t>
  </si>
  <si>
    <t>NEW ERA</t>
  </si>
  <si>
    <t>F513-BN.JPG</t>
  </si>
  <si>
    <t>DARK WALNUT</t>
  </si>
  <si>
    <t>F513</t>
  </si>
  <si>
    <t>steel+plywood+metal</t>
  </si>
  <si>
    <t>F513-KA</t>
  </si>
  <si>
    <t>F513-KA.JPG</t>
  </si>
  <si>
    <t>DARK MAPLE/MEDIUM MAPLE TONED</t>
  </si>
  <si>
    <t>F513-ORB</t>
  </si>
  <si>
    <t>F513-ORB.JPG</t>
  </si>
  <si>
    <t>Medium Maple</t>
  </si>
  <si>
    <t>F513-WH</t>
  </si>
  <si>
    <t>F513-WH.JPG</t>
  </si>
  <si>
    <t>F514-BN</t>
  </si>
  <si>
    <t>ZEN - 52" CEILING FAN</t>
  </si>
  <si>
    <t>ZEN</t>
  </si>
  <si>
    <t>13W CFL Golo 2700K</t>
  </si>
  <si>
    <t>White Frosted</t>
  </si>
  <si>
    <t>F514-BN.JPG</t>
  </si>
  <si>
    <t>F514</t>
  </si>
  <si>
    <t>Plywood Construction</t>
  </si>
  <si>
    <t>F514-ORB</t>
  </si>
  <si>
    <t>GU24 13W CFL Golo 2700W</t>
  </si>
  <si>
    <t>Tinted Opal</t>
  </si>
  <si>
    <t>F514-ORB.JPG</t>
  </si>
  <si>
    <t>F514-WH</t>
  </si>
  <si>
    <t>F514-WH.JPG</t>
  </si>
  <si>
    <t>F516L-BN</t>
  </si>
  <si>
    <t>44" LED CEILING FAN</t>
  </si>
  <si>
    <t>F516L-BN.JPG</t>
  </si>
  <si>
    <t>F516L</t>
  </si>
  <si>
    <t>METAL+ABS+ALUM</t>
  </si>
  <si>
    <t>F516L-ORB</t>
  </si>
  <si>
    <t>WHITE OPAL</t>
  </si>
  <si>
    <t>F516L-ORB.JPG</t>
  </si>
  <si>
    <t>F516L-PN</t>
  </si>
  <si>
    <t>F516L-PN.JPG</t>
  </si>
  <si>
    <t>F516L-WH</t>
  </si>
  <si>
    <t>F516L-WH.JPG</t>
  </si>
  <si>
    <t>F517L-BN</t>
  </si>
  <si>
    <t>F517L-BN.JPG</t>
  </si>
  <si>
    <t>F517L</t>
  </si>
  <si>
    <t>METAL+ABS+ STEEL</t>
  </si>
  <si>
    <t>F517L-ORB</t>
  </si>
  <si>
    <t>52" LED CEILINF FAN</t>
  </si>
  <si>
    <t>F517L-ORB.JPG</t>
  </si>
  <si>
    <t>F517L-WH</t>
  </si>
  <si>
    <t>52"LED CEILING FAN</t>
  </si>
  <si>
    <t>F517L-WH.JPG</t>
  </si>
  <si>
    <t>F518L-BN</t>
  </si>
  <si>
    <t>44" LED FLUSH MOUNT CEILING FAN</t>
  </si>
  <si>
    <t>F518L-BN.JPG</t>
  </si>
  <si>
    <t>F518L</t>
  </si>
  <si>
    <t>F518L-ORB</t>
  </si>
  <si>
    <t>F518L-ORB.JPG</t>
  </si>
  <si>
    <t>ABS+STEEL</t>
  </si>
  <si>
    <t>F518L-PN</t>
  </si>
  <si>
    <t>F518L-PN.JPG</t>
  </si>
  <si>
    <t>F518L-WH</t>
  </si>
  <si>
    <t>F518L-WH.JPG</t>
  </si>
  <si>
    <t>F519L-BN</t>
  </si>
  <si>
    <t>F519L-BN.JPG</t>
  </si>
  <si>
    <t>F519L</t>
  </si>
  <si>
    <t>F519L-ORB</t>
  </si>
  <si>
    <t>F519L-ORB.JPG</t>
  </si>
  <si>
    <t>F519L-PN</t>
  </si>
  <si>
    <t>F519L-PN.JPG</t>
  </si>
  <si>
    <t>F519L-WH</t>
  </si>
  <si>
    <t>F519L-WH.JPG</t>
  </si>
  <si>
    <t>F521-ABD</t>
  </si>
  <si>
    <t>ALUMA - 52" CEILING FAN</t>
  </si>
  <si>
    <t>ALUMA</t>
  </si>
  <si>
    <t>T-4, MINI CAND</t>
  </si>
  <si>
    <t>F521-ABD.JPG</t>
  </si>
  <si>
    <t>11.5 DEGREES</t>
  </si>
  <si>
    <t>F521</t>
  </si>
  <si>
    <t>metal+abs</t>
  </si>
  <si>
    <t>F521-ORB</t>
  </si>
  <si>
    <t>T-4,Mini-Can</t>
  </si>
  <si>
    <t>F521-ORB.JPG</t>
  </si>
  <si>
    <t>Oil Rubbed Bronze</t>
  </si>
  <si>
    <t>F521-WHF</t>
  </si>
  <si>
    <t>F521-WHF.JPG</t>
  </si>
  <si>
    <t>F522-BN</t>
  </si>
  <si>
    <t>MOJO - 52" CEILING FAN</t>
  </si>
  <si>
    <t>MOJO</t>
  </si>
  <si>
    <t>B10.5 CAND</t>
  </si>
  <si>
    <t>FROSTED WHITE</t>
  </si>
  <si>
    <t>F522-BN.JPG</t>
  </si>
  <si>
    <t>F522</t>
  </si>
  <si>
    <t>F522-BWH</t>
  </si>
  <si>
    <t>B10.5 Candelabra</t>
  </si>
  <si>
    <t>Frosted White</t>
  </si>
  <si>
    <t>F522-BWH.JPG</t>
  </si>
  <si>
    <t>Bone White</t>
  </si>
  <si>
    <t>F522-ORB</t>
  </si>
  <si>
    <t>F522-ORB.JPG</t>
  </si>
  <si>
    <t>F522-ORB/TS</t>
  </si>
  <si>
    <t>B10.5, CAND</t>
  </si>
  <si>
    <t>TEA STAIN</t>
  </si>
  <si>
    <t>F522-ORB-TS.JPG</t>
  </si>
  <si>
    <t>MEDIIUM MAPLE/DARK WALNUT</t>
  </si>
  <si>
    <t>F522-WH</t>
  </si>
  <si>
    <t>WHITE FROSTED</t>
  </si>
  <si>
    <t>F522-WH.JPG</t>
  </si>
  <si>
    <t>F523-ABD</t>
  </si>
  <si>
    <t>ALUMA WET - 52" CEILING FAN</t>
  </si>
  <si>
    <t>ALUMA WET</t>
  </si>
  <si>
    <t>T4 E11 Mini Halogen</t>
  </si>
  <si>
    <t>Etched Opal Glass</t>
  </si>
  <si>
    <t>F523-ABD.JPG</t>
  </si>
  <si>
    <t>Brushed Aluminum</t>
  </si>
  <si>
    <t>F523</t>
  </si>
  <si>
    <t>Aluminum</t>
  </si>
  <si>
    <t>F523-ORB</t>
  </si>
  <si>
    <t>Mini Can Halogen</t>
  </si>
  <si>
    <t>Tinted Opal Glass</t>
  </si>
  <si>
    <t>F523-ORB.JPG</t>
  </si>
  <si>
    <t>F523-WHF</t>
  </si>
  <si>
    <t>E11 100W Halogen</t>
  </si>
  <si>
    <t>T4 E11 Mini Candelabra</t>
  </si>
  <si>
    <t>F523-WHF.JPG</t>
  </si>
  <si>
    <t>Flat White</t>
  </si>
  <si>
    <t>F524-ABD</t>
  </si>
  <si>
    <t>ROTO - 52" CEILING FAN</t>
  </si>
  <si>
    <t>ROTO</t>
  </si>
  <si>
    <t>F524-ABD.JPG</t>
  </si>
  <si>
    <t>22 DEGREES</t>
  </si>
  <si>
    <t>F524</t>
  </si>
  <si>
    <t>F524-CL</t>
  </si>
  <si>
    <t>52" CEILING FAN</t>
  </si>
  <si>
    <t>F524-CL.JPG</t>
  </si>
  <si>
    <t>F524-DK</t>
  </si>
  <si>
    <t>F524-DK.JPG</t>
  </si>
  <si>
    <t>22 degrees</t>
  </si>
  <si>
    <t>Distressed Koa</t>
  </si>
  <si>
    <t>F524-ORB</t>
  </si>
  <si>
    <t>F524-ORB.JPG</t>
  </si>
  <si>
    <t>F524-WHF</t>
  </si>
  <si>
    <t>F524-WHF.JPG</t>
  </si>
  <si>
    <t>F531-L-BN</t>
  </si>
  <si>
    <t>FLYTE® - 56" CEILING FAN</t>
  </si>
  <si>
    <t>FLYTE®</t>
  </si>
  <si>
    <t>T4(E110 Mini Cand Halogen Frosted</t>
  </si>
  <si>
    <t>White Opal</t>
  </si>
  <si>
    <t>F531-L-BN.JPG</t>
  </si>
  <si>
    <t>MAPLE FINISH</t>
  </si>
  <si>
    <t>F531-L</t>
  </si>
  <si>
    <t>F531-L-BN/MG</t>
  </si>
  <si>
    <t>F531-L-BN-MG.JPG</t>
  </si>
  <si>
    <t>MAHOGANY FINISH</t>
  </si>
  <si>
    <t>F531-L-WH</t>
  </si>
  <si>
    <t>F531-L-WH.JPG</t>
  </si>
  <si>
    <t>F532-BNW</t>
  </si>
  <si>
    <t>SUNSEEKER - 60" CEILING FAN</t>
  </si>
  <si>
    <t>SUNSEEKER</t>
  </si>
  <si>
    <t>N/A</t>
  </si>
  <si>
    <t>F532-BNW.JPG</t>
  </si>
  <si>
    <t>F532</t>
  </si>
  <si>
    <t>F532-DRF</t>
  </si>
  <si>
    <t>F532-DRF.JPG</t>
  </si>
  <si>
    <t>Driftwood</t>
  </si>
  <si>
    <t>ABS+ALUMINUM+ZINC DIECAST</t>
  </si>
  <si>
    <t>F532-ORB</t>
  </si>
  <si>
    <t>F532-ORB.JPG</t>
  </si>
  <si>
    <t>F532-SI</t>
  </si>
  <si>
    <t>60" CEILING FAN</t>
  </si>
  <si>
    <t>F532-SI.JPG</t>
  </si>
  <si>
    <t>F533-BN</t>
  </si>
  <si>
    <t>FLUSH MOUNT CEILING FAN</t>
  </si>
  <si>
    <t>MOJO II - 52" CEILING FAN</t>
  </si>
  <si>
    <t>MOJO II</t>
  </si>
  <si>
    <t>B10.5,60W CANDELABRA BULBS</t>
  </si>
  <si>
    <t>F533-BN.JPG</t>
  </si>
  <si>
    <t>REVERSIBLE MEDIUM MAPLE/DARK WALNUT</t>
  </si>
  <si>
    <t>F533</t>
  </si>
  <si>
    <t>F533-DK</t>
  </si>
  <si>
    <t>B-10.5,60W,CANDELABRA BULBS</t>
  </si>
  <si>
    <t>F533-DK.JPG</t>
  </si>
  <si>
    <t>F533-ORB</t>
  </si>
  <si>
    <t>B10.5,60W,CANDELABRA BULBS</t>
  </si>
  <si>
    <t>F533-ORB.JPG</t>
  </si>
  <si>
    <t>F533-WH</t>
  </si>
  <si>
    <t>B10.5,6OW,CANDELABRA BULBS</t>
  </si>
  <si>
    <t>FROSTED WHITE GLASS</t>
  </si>
  <si>
    <t>F533-WH.JPG</t>
  </si>
  <si>
    <t>F534L-BN</t>
  </si>
  <si>
    <t>54" LED CEILING FAN</t>
  </si>
  <si>
    <t>LUN-AIRE - LED 54" CEILING FAN</t>
  </si>
  <si>
    <t>LUN-AIRE WITH LED LIGHT</t>
  </si>
  <si>
    <t>F534L-BN.JPG</t>
  </si>
  <si>
    <t>12 degrees</t>
  </si>
  <si>
    <t>F534L</t>
  </si>
  <si>
    <t>METAL+PLYOOD</t>
  </si>
  <si>
    <t>F534L-ORB</t>
  </si>
  <si>
    <t>F534L-ORB.JPG</t>
  </si>
  <si>
    <t>DARK PINE</t>
  </si>
  <si>
    <t>F534L-WH</t>
  </si>
  <si>
    <t>F534L-WH.JPG</t>
  </si>
  <si>
    <t>F539-BCW</t>
  </si>
  <si>
    <t>72" CEILING FAN</t>
  </si>
  <si>
    <t>GREAT ROOM TRADITIONAL - 72" CEILING FAN</t>
  </si>
  <si>
    <t>GREAT ROOM TRADITIONAL</t>
  </si>
  <si>
    <t>F539-BCW.JPG</t>
  </si>
  <si>
    <t>Dark Walnut</t>
  </si>
  <si>
    <t>F539</t>
  </si>
  <si>
    <t>PLYWOOD+ZINC DIECAST</t>
  </si>
  <si>
    <t>F539-BN</t>
  </si>
  <si>
    <t>F539-BN.JPG</t>
  </si>
  <si>
    <t>F539-BNK</t>
  </si>
  <si>
    <t>F539-BNK.JPG</t>
  </si>
  <si>
    <t>SEASHORE GREY</t>
  </si>
  <si>
    <t>F539-HBZ</t>
  </si>
  <si>
    <t>F539-HBZ.JPG</t>
  </si>
  <si>
    <t>AGED BOARDWALK</t>
  </si>
  <si>
    <t>PLYWOOD+PLATED STEEL+METAL</t>
  </si>
  <si>
    <t>F539-ORB</t>
  </si>
  <si>
    <t>F539-ORB.JPG</t>
  </si>
  <si>
    <t>F541L-ORB</t>
  </si>
  <si>
    <t>54 INCH LED OUTDOOR CEILING FAN</t>
  </si>
  <si>
    <t>CONE - LED 54" CEILING FAN</t>
  </si>
  <si>
    <t>CONE</t>
  </si>
  <si>
    <t>F541L-ORB.JPG</t>
  </si>
  <si>
    <t>F541L</t>
  </si>
  <si>
    <t>F541L-SL</t>
  </si>
  <si>
    <t>F541L-SL.JPG</t>
  </si>
  <si>
    <t>F541L-WH</t>
  </si>
  <si>
    <t>54 INCH OUTDOOR LED CEILING FAN</t>
  </si>
  <si>
    <t>F541L-WH.JPG</t>
  </si>
  <si>
    <t>F543L-DK</t>
  </si>
  <si>
    <t>56 INCH LED CEILING FAN</t>
  </si>
  <si>
    <t>SWEPT - LED 56" CEILING FAN</t>
  </si>
  <si>
    <t>SWEPT</t>
  </si>
  <si>
    <t>F543L-DK.JPG</t>
  </si>
  <si>
    <t>26 DEGREES</t>
  </si>
  <si>
    <t>F543L</t>
  </si>
  <si>
    <t>F543L-KA</t>
  </si>
  <si>
    <t>F543L-KA.JPG</t>
  </si>
  <si>
    <t>F543L-SL</t>
  </si>
  <si>
    <t>F543L-SL.JPG</t>
  </si>
  <si>
    <t>F543L-WHF</t>
  </si>
  <si>
    <t>F543L-WHF.JPG</t>
  </si>
  <si>
    <t>F544-BCW</t>
  </si>
  <si>
    <t>CANDELABRA</t>
  </si>
  <si>
    <t>Aged Champagne</t>
  </si>
  <si>
    <t>F544-BCW.JPG</t>
  </si>
  <si>
    <t>F544</t>
  </si>
  <si>
    <t>F546-BS</t>
  </si>
  <si>
    <t>CONTRACTOR - 42" CEILING FAN</t>
  </si>
  <si>
    <t>CONTRACTOR 42"</t>
  </si>
  <si>
    <t>F546-BS.JPG</t>
  </si>
  <si>
    <t>F546</t>
  </si>
  <si>
    <t>F546-BS/DW</t>
  </si>
  <si>
    <t>BRUSHED STEEL W/ DARK WALNUT</t>
  </si>
  <si>
    <t>F546-BS-DW.JPG</t>
  </si>
  <si>
    <t>F546-ORB</t>
  </si>
  <si>
    <t>F546-ORB.JPG</t>
  </si>
  <si>
    <t>F546-WH</t>
  </si>
  <si>
    <t>F546-WH.JPG</t>
  </si>
  <si>
    <t>F547-BS</t>
  </si>
  <si>
    <t>CONTRACTOR - 52" CEILING FAN</t>
  </si>
  <si>
    <t>CONTRACTOR 52"</t>
  </si>
  <si>
    <t>F547-BS.JPG</t>
  </si>
  <si>
    <t>Silver</t>
  </si>
  <si>
    <t>F547</t>
  </si>
  <si>
    <t>F547-BS/DW</t>
  </si>
  <si>
    <t>F547-BS-DW.JPG</t>
  </si>
  <si>
    <t>MDF Construction</t>
  </si>
  <si>
    <t>F547-ORB</t>
  </si>
  <si>
    <t>F547-ORB.JPG</t>
  </si>
  <si>
    <t>F547-WH</t>
  </si>
  <si>
    <t>F547-WH.JPG</t>
  </si>
  <si>
    <t>F548-ORB/EX</t>
  </si>
  <si>
    <t>CONTRACTOR UNI-PACK - 52" CEILING FAN</t>
  </si>
  <si>
    <t>CONTRACTOR UNI-PACK</t>
  </si>
  <si>
    <t>Excavation</t>
  </si>
  <si>
    <t>F548-ORB-EX.JPG</t>
  </si>
  <si>
    <t>F548L-BS</t>
  </si>
  <si>
    <t>CONTRACTOR UNI-PACK LED - 52" CEILING FAN</t>
  </si>
  <si>
    <t>E27 MED LED BULB</t>
  </si>
  <si>
    <t>ETCHED SWIRL</t>
  </si>
  <si>
    <t>F548L-BS.JPG</t>
  </si>
  <si>
    <t>F548L</t>
  </si>
  <si>
    <t>F548L-BS/DW</t>
  </si>
  <si>
    <t>F548L-BS-DW.JPG</t>
  </si>
  <si>
    <t>F548L-ORB</t>
  </si>
  <si>
    <t>F548L-ORB.JPG</t>
  </si>
  <si>
    <t>F548L-ORB/EX</t>
  </si>
  <si>
    <t>F548L-ORB-EX.JPG</t>
  </si>
  <si>
    <t>F548L-WH</t>
  </si>
  <si>
    <t>F548L-WH.JPG</t>
  </si>
  <si>
    <t>F556-BN</t>
  </si>
  <si>
    <t>CONTRACTOR PLUS - 52" CEILING FAN</t>
  </si>
  <si>
    <t>CONTRACTOR PLUS</t>
  </si>
  <si>
    <t>F556-BN.JPG</t>
  </si>
  <si>
    <t>F556</t>
  </si>
  <si>
    <t>F556-BN/DW</t>
  </si>
  <si>
    <t>F556-BN-DW.JPG</t>
  </si>
  <si>
    <t>F556-BNK</t>
  </si>
  <si>
    <t>F556-BNK.JPG</t>
  </si>
  <si>
    <t>PLYWOOD CONSTRUCTION+ZINC+ALUMINUM</t>
  </si>
  <si>
    <t>F556-HBZ</t>
  </si>
  <si>
    <t>F556-HBZ.JPG</t>
  </si>
  <si>
    <t>F556-ORB</t>
  </si>
  <si>
    <t>F556-ORB.JPG</t>
  </si>
  <si>
    <t>F556-WHF</t>
  </si>
  <si>
    <t>F556-WHF.JPG</t>
  </si>
  <si>
    <t>F556L-BN</t>
  </si>
  <si>
    <t>CONTRACTOR - LED 52" CEILING FAN</t>
  </si>
  <si>
    <t>CONTRACTOR PLUS LED</t>
  </si>
  <si>
    <t>F556L-BN.JPG</t>
  </si>
  <si>
    <t>F556L</t>
  </si>
  <si>
    <t>F556L-BN/DW</t>
  </si>
  <si>
    <t>BRUSHED NICKEL/DARK WALNUT</t>
  </si>
  <si>
    <t>F556L-BN-DW.JPG</t>
  </si>
  <si>
    <t>MEDIUM MAPLE/DARK WALNUT(REVERSIBLE)</t>
  </si>
  <si>
    <t>F556L-BNK</t>
  </si>
  <si>
    <t>F556L-BNK.JPG</t>
  </si>
  <si>
    <t>F556L-BWH</t>
  </si>
  <si>
    <t>F556L-BWH.JPG</t>
  </si>
  <si>
    <t>F556L-HBZ</t>
  </si>
  <si>
    <t>F556L-HBZ.JPG</t>
  </si>
  <si>
    <t>F556L-ORB</t>
  </si>
  <si>
    <t>F556L-ORB.JPG</t>
  </si>
  <si>
    <t>F556L-WH</t>
  </si>
  <si>
    <t>F556L-WH.JPG</t>
  </si>
  <si>
    <t>METAL+PLYWOOD</t>
  </si>
  <si>
    <t>F562-BS</t>
  </si>
  <si>
    <t>SUPRA® - 32" CEILING FAN</t>
  </si>
  <si>
    <t>SUPRA® 32"</t>
  </si>
  <si>
    <t>F562-BS.JPG</t>
  </si>
  <si>
    <t>F562</t>
  </si>
  <si>
    <t>F562-ORB</t>
  </si>
  <si>
    <t>F562-ORB.JPG</t>
  </si>
  <si>
    <t>F562-WH</t>
  </si>
  <si>
    <t>F562-WH.JPG</t>
  </si>
  <si>
    <t>F563-BS</t>
  </si>
  <si>
    <t>SUPRA® - 44" CEILING FAN</t>
  </si>
  <si>
    <t>SUPRA® 44"</t>
  </si>
  <si>
    <t>F563-BS.JPG</t>
  </si>
  <si>
    <t>F563</t>
  </si>
  <si>
    <t>F563-BS/DW</t>
  </si>
  <si>
    <t>F563-BS-DW.JPG</t>
  </si>
  <si>
    <t>F563-ORB</t>
  </si>
  <si>
    <t>F563-ORB.JPG</t>
  </si>
  <si>
    <t>F563-SP</t>
  </si>
  <si>
    <t>Mini-Can Halogen</t>
  </si>
  <si>
    <t>Opal</t>
  </si>
  <si>
    <t>F563-SP.JPG</t>
  </si>
  <si>
    <t>F563-SP-BS/DW</t>
  </si>
  <si>
    <t>MINI-CAN HALOGEN</t>
  </si>
  <si>
    <t>F563-SP-BS-DW.JPG</t>
  </si>
  <si>
    <t>F563-SP-ORB</t>
  </si>
  <si>
    <t>F563-SP-ORB.JPG</t>
  </si>
  <si>
    <t>F563-SP-WH</t>
  </si>
  <si>
    <t>F563-SP-WH.JPG</t>
  </si>
  <si>
    <t>F563-WH</t>
  </si>
  <si>
    <t>F563-WH.JPG</t>
  </si>
  <si>
    <t>F565-BN</t>
  </si>
  <si>
    <t>MESA</t>
  </si>
  <si>
    <t>F565-BN.JPG</t>
  </si>
  <si>
    <t>F565</t>
  </si>
  <si>
    <t>METAL+ MDF Construction</t>
  </si>
  <si>
    <t>F565-WH</t>
  </si>
  <si>
    <t>F565-WH.JPG</t>
  </si>
  <si>
    <t>F566-WH</t>
  </si>
  <si>
    <t>F566-WH.JPG</t>
  </si>
  <si>
    <t>F566</t>
  </si>
  <si>
    <t>F568-BCW</t>
  </si>
  <si>
    <t>SUPRA® - 52" CEILING FAN</t>
  </si>
  <si>
    <t>SUPRA® 52"</t>
  </si>
  <si>
    <t>F568-BCW.JPG</t>
  </si>
  <si>
    <t>F568</t>
  </si>
  <si>
    <t>F568-BS</t>
  </si>
  <si>
    <t>F568-BS.JPG</t>
  </si>
  <si>
    <t>F568-BS/DW</t>
  </si>
  <si>
    <t>F568-BS-DW.JPG</t>
  </si>
  <si>
    <t>F568-KA</t>
  </si>
  <si>
    <t>F568-KA.JPG</t>
  </si>
  <si>
    <t>F568-ORB</t>
  </si>
  <si>
    <t>F568-ORB.JPG</t>
  </si>
  <si>
    <t>F568-SWH</t>
  </si>
  <si>
    <t>F568-SWH.JPG</t>
  </si>
  <si>
    <t>F568-WH</t>
  </si>
  <si>
    <t>F568-WH.JPG</t>
  </si>
  <si>
    <t>F569-BS</t>
  </si>
  <si>
    <t>F569-BS.JPG</t>
  </si>
  <si>
    <t>F569</t>
  </si>
  <si>
    <t>F569-BS/DW</t>
  </si>
  <si>
    <t>MINI CAN HALOGEN</t>
  </si>
  <si>
    <t>OPAL FROST</t>
  </si>
  <si>
    <t>F569-BS-DW.JPG</t>
  </si>
  <si>
    <t>F569-ORB</t>
  </si>
  <si>
    <t>F569-ORB.JPG</t>
  </si>
  <si>
    <t>F569-WH</t>
  </si>
  <si>
    <t>F569-WH.JPG</t>
  </si>
  <si>
    <t>F571-ORB</t>
  </si>
  <si>
    <t>F571-ORB.JPG</t>
  </si>
  <si>
    <t>DARK OAK</t>
  </si>
  <si>
    <t>F571</t>
  </si>
  <si>
    <t>F571-WH</t>
  </si>
  <si>
    <t>F571-WH.JPG</t>
  </si>
  <si>
    <t>F572-ORB</t>
  </si>
  <si>
    <t>F572-ORB.JPG</t>
  </si>
  <si>
    <t>F572</t>
  </si>
  <si>
    <t>STEEL+METAL</t>
  </si>
  <si>
    <t>F572-WH</t>
  </si>
  <si>
    <t>F572-WH.JPG</t>
  </si>
  <si>
    <t>F580-VR/BB</t>
  </si>
  <si>
    <t>SHANGRI-LA® - 52" CEILING FAN</t>
  </si>
  <si>
    <t>SHANGRI-LA®</t>
  </si>
  <si>
    <t>T4(E11)Mini Cand Halogen Frosted</t>
  </si>
  <si>
    <t>Caged Etched</t>
  </si>
  <si>
    <t>F580-VR-BB.JPG</t>
  </si>
  <si>
    <t>BAMBOO</t>
  </si>
  <si>
    <t>F580</t>
  </si>
  <si>
    <t>F581-BG</t>
  </si>
  <si>
    <t>MR16 Halogen</t>
  </si>
  <si>
    <t>glass</t>
  </si>
  <si>
    <t>F581-BG.JPG</t>
  </si>
  <si>
    <t>F581-A</t>
  </si>
  <si>
    <t>F581-ORB</t>
  </si>
  <si>
    <t>F581-ORB.JPG</t>
  </si>
  <si>
    <t>F581-WHF</t>
  </si>
  <si>
    <t>F581-WHF.JPG</t>
  </si>
  <si>
    <t>F582-BNW</t>
  </si>
  <si>
    <t>54" CEILING FAN</t>
  </si>
  <si>
    <t>(E11) Mini-Cand Halogen Frosted</t>
  </si>
  <si>
    <t>Acid Etched</t>
  </si>
  <si>
    <t>F582-BNW.JPG</t>
  </si>
  <si>
    <t>F582</t>
  </si>
  <si>
    <t>F582-GL</t>
  </si>
  <si>
    <t>ETCHED</t>
  </si>
  <si>
    <t>F582-GL.JPG</t>
  </si>
  <si>
    <t>F582-ORB</t>
  </si>
  <si>
    <t>Vintage Amber</t>
  </si>
  <si>
    <t>F582-ORB.JPG</t>
  </si>
  <si>
    <t>Taupe</t>
  </si>
  <si>
    <t>F582-SI</t>
  </si>
  <si>
    <t>MIN CAN HALOGEN</t>
  </si>
  <si>
    <t>F582-SI.JPG</t>
  </si>
  <si>
    <t>F588-SP-BCW</t>
  </si>
  <si>
    <t>F588-SP-BCW.JPG</t>
  </si>
  <si>
    <t>F588</t>
  </si>
  <si>
    <t>F588-SP-BN</t>
  </si>
  <si>
    <t>F588-SP-BN.JPG</t>
  </si>
  <si>
    <t>F588-SP-ORB</t>
  </si>
  <si>
    <t>F588-SP-ORB.JPG</t>
  </si>
  <si>
    <t>F588-SP-WH</t>
  </si>
  <si>
    <t>F588-SP-WH.JPG</t>
  </si>
  <si>
    <t>F589-BI/AI</t>
  </si>
  <si>
    <t>SUNDOWNER® - 54" CEILING FAN</t>
  </si>
  <si>
    <t>SUNDOWNER®</t>
  </si>
  <si>
    <t>BLACK IRON W/ AGED IRON ACCENTS</t>
  </si>
  <si>
    <t>F589-BI-AI.JPG</t>
  </si>
  <si>
    <t>16 degrees</t>
  </si>
  <si>
    <t>BLACK IRON WITH AGED IRON ACCE</t>
  </si>
  <si>
    <t>F589</t>
  </si>
  <si>
    <t>POLY/ABS/ALUM</t>
  </si>
  <si>
    <t>F589-DRF</t>
  </si>
  <si>
    <t>F589-DRF.JPG</t>
  </si>
  <si>
    <t>ABS+ALUMINUM+ZINC</t>
  </si>
  <si>
    <t>F589-HT</t>
  </si>
  <si>
    <t>F589-HT.JPG</t>
  </si>
  <si>
    <t>16 DEGREES</t>
  </si>
  <si>
    <t>F589-MW</t>
  </si>
  <si>
    <t>F589-MW.JPG</t>
  </si>
  <si>
    <t>F589-ORB</t>
  </si>
  <si>
    <t>F589-ORB.JPG</t>
  </si>
  <si>
    <t>Dark Maple</t>
  </si>
  <si>
    <t>F589-TCL</t>
  </si>
  <si>
    <t>F589-TCL.JPG</t>
  </si>
  <si>
    <t>F589-VRT</t>
  </si>
  <si>
    <t>F589-VRT.JPG</t>
  </si>
  <si>
    <t>F589-WH</t>
  </si>
  <si>
    <t>F589-WH.JPG</t>
  </si>
  <si>
    <t>ABS/ALUM/ZINC DIECAST</t>
  </si>
  <si>
    <t>F593L-ORB</t>
  </si>
  <si>
    <t>TINTED OPAL GLASS</t>
  </si>
  <si>
    <t>F593L-ORB.JPG</t>
  </si>
  <si>
    <t>F593L</t>
  </si>
  <si>
    <t>F593L-PW</t>
  </si>
  <si>
    <t>F593L-PW.JPG</t>
  </si>
  <si>
    <t>F593L-WH</t>
  </si>
  <si>
    <t>F593L-WH.JPG</t>
  </si>
  <si>
    <t>F594L-ORB</t>
  </si>
  <si>
    <t>F594L-ORB.JPG</t>
  </si>
  <si>
    <t>F594L</t>
  </si>
  <si>
    <t>F594L-PW</t>
  </si>
  <si>
    <t>F594L-PW.JPG</t>
  </si>
  <si>
    <t>DARK MAPLE</t>
  </si>
  <si>
    <t>F594L-WH</t>
  </si>
  <si>
    <t>F594L-WH.JPG</t>
  </si>
  <si>
    <t>F596-BN</t>
  </si>
  <si>
    <t>F596-BN.JPG</t>
  </si>
  <si>
    <t>F596</t>
  </si>
  <si>
    <t>F596-PN/TL</t>
  </si>
  <si>
    <t>F596-PN-TL.JPG</t>
  </si>
  <si>
    <t>TRANSLUCENT</t>
  </si>
  <si>
    <t>F598-BN</t>
  </si>
  <si>
    <t>F598-BN.JPG</t>
  </si>
  <si>
    <t>F598</t>
  </si>
  <si>
    <t>F598-ORB</t>
  </si>
  <si>
    <t>F598-ORB.JPG</t>
  </si>
  <si>
    <t>F598-WH</t>
  </si>
  <si>
    <t>F598-WH.JPG</t>
  </si>
  <si>
    <t>F601-BS/BN</t>
  </si>
  <si>
    <t>BRUSHED STEEL W/ BRUSHED NICKEL</t>
  </si>
  <si>
    <t>Opal Frosted</t>
  </si>
  <si>
    <t>F601-BS-BN.JPG</t>
  </si>
  <si>
    <t>F601</t>
  </si>
  <si>
    <t>F601-BS/MG</t>
  </si>
  <si>
    <t>BRUSHED STEEL W/ MAHOGANY</t>
  </si>
  <si>
    <t>F601-BS-MG.JPG</t>
  </si>
  <si>
    <t>F601-ORB</t>
  </si>
  <si>
    <t>F601-ORB.JPG</t>
  </si>
  <si>
    <t>AARON MAHOGANY</t>
  </si>
  <si>
    <t>F601-PN</t>
  </si>
  <si>
    <t>etched opal glass</t>
  </si>
  <si>
    <t>F601-PN.JPG</t>
  </si>
  <si>
    <t>F602-BN/CH</t>
  </si>
  <si>
    <t>BRUSHED NICKEL W/ CHROME</t>
  </si>
  <si>
    <t>F602-BN-CH.JPG</t>
  </si>
  <si>
    <t>Rosewood</t>
  </si>
  <si>
    <t>F602</t>
  </si>
  <si>
    <t>F602-RRB</t>
  </si>
  <si>
    <t>F602-RRB.JPG</t>
  </si>
  <si>
    <t>F603-BN</t>
  </si>
  <si>
    <t>Satin White Opal</t>
  </si>
  <si>
    <t>F603-BN.JPG</t>
  </si>
  <si>
    <t>F603</t>
  </si>
  <si>
    <t>PLYWOOD CONSTRUCTION+ZINC DIECAST</t>
  </si>
  <si>
    <t>F603-ORB</t>
  </si>
  <si>
    <t>F603-ORB.JPG</t>
  </si>
  <si>
    <t>TOBACCO</t>
  </si>
  <si>
    <t>F603-WH</t>
  </si>
  <si>
    <t>F603-WH.JPG</t>
  </si>
  <si>
    <t>F614-BNK</t>
  </si>
  <si>
    <t>TIMELESS - 54" CEILING FAN</t>
  </si>
  <si>
    <t>TIMELESS</t>
  </si>
  <si>
    <t>F614-BNK.JPG</t>
  </si>
  <si>
    <t>F614</t>
  </si>
  <si>
    <t>STEEL/ALUM/PLYWOOD</t>
  </si>
  <si>
    <t>F614-DBB</t>
  </si>
  <si>
    <t>F614-DBB.JPG</t>
  </si>
  <si>
    <t>DARK  MAPLE</t>
  </si>
  <si>
    <t>F614-FB</t>
  </si>
  <si>
    <t>F614-FB.JPG</t>
  </si>
  <si>
    <t>F614-HBZ</t>
  </si>
  <si>
    <t>F614-HBZ.JPG</t>
  </si>
  <si>
    <t>F614-ORB</t>
  </si>
  <si>
    <t>F614-ORB.JPG</t>
  </si>
  <si>
    <t>F614-PI</t>
  </si>
  <si>
    <t>F614-PI.JPG</t>
  </si>
  <si>
    <t>F614-PW</t>
  </si>
  <si>
    <t>F614-PW.JPG</t>
  </si>
  <si>
    <t>F617L-BN</t>
  </si>
  <si>
    <t>60 INCH CEILING FAN WITH LED</t>
  </si>
  <si>
    <t>RAPTOR - LED 60" CEILING FAN</t>
  </si>
  <si>
    <t>RAPTOR</t>
  </si>
  <si>
    <t>F617L-BN.JPG</t>
  </si>
  <si>
    <t>F617</t>
  </si>
  <si>
    <t>STEEL+ALUM+PC</t>
  </si>
  <si>
    <t>F617L-GM</t>
  </si>
  <si>
    <t>F617L-GM.JPG</t>
  </si>
  <si>
    <t>F617L-ORB/AB</t>
  </si>
  <si>
    <t>60 INCH LED CEILING FAN</t>
  </si>
  <si>
    <t>OIL RUBBED BRONZE WITH ANTIQUE</t>
  </si>
  <si>
    <t>TINTED OPAL PAINTED INSIDE</t>
  </si>
  <si>
    <t>F617L-ORB-AB.JPG</t>
  </si>
  <si>
    <t>F617L</t>
  </si>
  <si>
    <t>F620-BCW</t>
  </si>
  <si>
    <t>F620-BCW.JPG</t>
  </si>
  <si>
    <t>F620</t>
  </si>
  <si>
    <t>F620-BN</t>
  </si>
  <si>
    <t>b10.5 Candelabra</t>
  </si>
  <si>
    <t>Etched Swirl</t>
  </si>
  <si>
    <t>F620-BN.JPG</t>
  </si>
  <si>
    <t>F620-DBB</t>
  </si>
  <si>
    <t>Avorio Mezzo</t>
  </si>
  <si>
    <t>F620-DBB.JPG</t>
  </si>
  <si>
    <t>F620-ORB</t>
  </si>
  <si>
    <t>F620-ORB.JPG</t>
  </si>
  <si>
    <t>F622-BWH</t>
  </si>
  <si>
    <t>TRADITIONAL MOJO - 52" CEILING FAN</t>
  </si>
  <si>
    <t>TRADITIONAL MOJO</t>
  </si>
  <si>
    <t>F622-BWH.JPG</t>
  </si>
  <si>
    <t>F622</t>
  </si>
  <si>
    <t>F622-ORB</t>
  </si>
  <si>
    <t>F622-ORB.JPG</t>
  </si>
  <si>
    <t>F622-ORB/TS</t>
  </si>
  <si>
    <t>F622-ORB-TS.JPG</t>
  </si>
  <si>
    <t>REVERSIBLE MAPLE/DARK WALNUT</t>
  </si>
  <si>
    <t>F622-PW</t>
  </si>
  <si>
    <t>B10.5,CAND</t>
  </si>
  <si>
    <t>ETCHED WHITE GLASS</t>
  </si>
  <si>
    <t>F622-PW.JPG</t>
  </si>
  <si>
    <t>F623L-BBR/SBR</t>
  </si>
  <si>
    <t>54IN LED CEILING FAN</t>
  </si>
  <si>
    <t>ORB - 54" LED CEILING FAN</t>
  </si>
  <si>
    <t>ORB LED</t>
  </si>
  <si>
    <t>SOFT BRASS</t>
  </si>
  <si>
    <t>F623L-BBR-SBR.JPG</t>
  </si>
  <si>
    <t>6IN</t>
  </si>
  <si>
    <t>3/4IN</t>
  </si>
  <si>
    <t>BRUSHED CARBON</t>
  </si>
  <si>
    <t>F623L</t>
  </si>
  <si>
    <t>STEEL METAL ALUMINUM</t>
  </si>
  <si>
    <t>F623L-BC/SBR</t>
  </si>
  <si>
    <t>F623L-BC-SBR.JPG</t>
  </si>
  <si>
    <t>STEEL AND METAL</t>
  </si>
  <si>
    <t>F623L-BS/BN</t>
  </si>
  <si>
    <t>BRUSHED STEEL W/ BRUSHED NICKE</t>
  </si>
  <si>
    <t>F623L-BS-BN.JPG</t>
  </si>
  <si>
    <t>ALUMINUM AND STEEL METAL</t>
  </si>
  <si>
    <t>F623L-WHF/BN</t>
  </si>
  <si>
    <t>FLAT WHITE/BRUSHED NICKEL FINI</t>
  </si>
  <si>
    <t>F623L-WHF-BN.JPG</t>
  </si>
  <si>
    <t>ALUMINUM STEEL METAL</t>
  </si>
  <si>
    <t>F624-ABD</t>
  </si>
  <si>
    <t>ROTO XL - 62" CEILING FAN</t>
  </si>
  <si>
    <t>ROTO XL</t>
  </si>
  <si>
    <t>F624-ABD.JPG</t>
  </si>
  <si>
    <t>F624</t>
  </si>
  <si>
    <t>ALUMINUM/ABS</t>
  </si>
  <si>
    <t>F624-ORB</t>
  </si>
  <si>
    <t>F624-ORB.JPG</t>
  </si>
  <si>
    <t>F624-WHF</t>
  </si>
  <si>
    <t>F624-WHF.JPG</t>
  </si>
  <si>
    <t>F647-BS</t>
  </si>
  <si>
    <t>CONTRACTOR UNI-PACK 52"</t>
  </si>
  <si>
    <t>Candelabra</t>
  </si>
  <si>
    <t>Etched</t>
  </si>
  <si>
    <t>F647-BS.JPG</t>
  </si>
  <si>
    <t>F647</t>
  </si>
  <si>
    <t>F647-ORB</t>
  </si>
  <si>
    <t>F647-ORB.JPG</t>
  </si>
  <si>
    <t>F647-ORB/TS</t>
  </si>
  <si>
    <t>Tea Stain</t>
  </si>
  <si>
    <t>F647-ORB-TS.JPG</t>
  </si>
  <si>
    <t>F647-WH</t>
  </si>
  <si>
    <t>F647-WH.JPG</t>
  </si>
  <si>
    <t>F656L-BN/DW</t>
  </si>
  <si>
    <t>CONTRACTOR UNI-PACK - LED 52" CEILING FAN</t>
  </si>
  <si>
    <t>CONTRACTOR UNI-PACK LED</t>
  </si>
  <si>
    <t>F656L-BN-DW.JPG</t>
  </si>
  <si>
    <t>F656</t>
  </si>
  <si>
    <t>PLYWOOD+ALUMINUM+GLASS+STEEL+ZINC</t>
  </si>
  <si>
    <t>F656L-BNK</t>
  </si>
  <si>
    <t>Z26 LED</t>
  </si>
  <si>
    <t>F656L-BNK.JPG</t>
  </si>
  <si>
    <t>F656L</t>
  </si>
  <si>
    <t>PLYWOOD+ALUM+GLASS+STEEL+ZINC</t>
  </si>
  <si>
    <t>F656L-CL</t>
  </si>
  <si>
    <t>F656L-CL.JPG</t>
  </si>
  <si>
    <t>F656L-HBZ</t>
  </si>
  <si>
    <t>Z26 LED MODULE</t>
  </si>
  <si>
    <t>F656L-HBZ.JPG</t>
  </si>
  <si>
    <t>F656L-ORB</t>
  </si>
  <si>
    <t>F656L-ORB.JPG</t>
  </si>
  <si>
    <t>F656L-PN</t>
  </si>
  <si>
    <t>F656L-PN.JPG</t>
  </si>
  <si>
    <t>F656L-WH</t>
  </si>
  <si>
    <t>F656L-WH.JPG</t>
  </si>
  <si>
    <t>F659-BCW</t>
  </si>
  <si>
    <t>CLASSICA - 54" CEILING FAN</t>
  </si>
  <si>
    <t>CLASSICA</t>
  </si>
  <si>
    <t>F659-BCW.JPG</t>
  </si>
  <si>
    <t>F659</t>
  </si>
  <si>
    <t>F659-DRF</t>
  </si>
  <si>
    <t>F659-DRF.JPG</t>
  </si>
  <si>
    <t>13 DEGREES</t>
  </si>
  <si>
    <t>F659-FB</t>
  </si>
  <si>
    <t>F659-FB.JPG</t>
  </si>
  <si>
    <t>F659-PBL</t>
  </si>
  <si>
    <t>F659-PBL.JPG</t>
  </si>
  <si>
    <t>F659-PI</t>
  </si>
  <si>
    <t>F659-PI.JPG</t>
  </si>
  <si>
    <t>F681-BNW</t>
  </si>
  <si>
    <t>56" CEILING FAN</t>
  </si>
  <si>
    <t>GROTON - 56" CEILING FAN</t>
  </si>
  <si>
    <t>GROTON</t>
  </si>
  <si>
    <t>CLEAR FRESNEL GLASS</t>
  </si>
  <si>
    <t>F681-BNW.JPG</t>
  </si>
  <si>
    <t>F681</t>
  </si>
  <si>
    <t>STEEL+ALUM+ABS</t>
  </si>
  <si>
    <t>F681-ORB</t>
  </si>
  <si>
    <t>CLEAR FRESNEL LENS</t>
  </si>
  <si>
    <t>F681-ORB.JPG</t>
  </si>
  <si>
    <t>F681-PN</t>
  </si>
  <si>
    <t>T4(E11)MINI CAND</t>
  </si>
  <si>
    <t>F681-PN.JPG</t>
  </si>
  <si>
    <t>F681-SDBK/WS</t>
  </si>
  <si>
    <t>F681-SDBK-WS.JPG</t>
  </si>
  <si>
    <t>CHARCOAL DRIFTWOOD</t>
  </si>
  <si>
    <t>F681-WA/PW</t>
  </si>
  <si>
    <t>MINI CAN T-4</t>
  </si>
  <si>
    <t>CLEAR</t>
  </si>
  <si>
    <t>F681-WA-PW.JPG</t>
  </si>
  <si>
    <t>ALUM+STAINLESS STEEL+ABS</t>
  </si>
  <si>
    <t>F683L-BNW</t>
  </si>
  <si>
    <t>SHADE - LED 56" CEILING FAN</t>
  </si>
  <si>
    <t>SHADE</t>
  </si>
  <si>
    <t>CLEAR HALOPHANE</t>
  </si>
  <si>
    <t>F683L-BNW.JPG</t>
  </si>
  <si>
    <t>F683L</t>
  </si>
  <si>
    <t>METAL+BRASS+ABS</t>
  </si>
  <si>
    <t>F683L-GI</t>
  </si>
  <si>
    <t>F683L-GI.JPG</t>
  </si>
  <si>
    <t>F683L-HBZ</t>
  </si>
  <si>
    <t>F683L-HBZ.JPG</t>
  </si>
  <si>
    <t>CHARCOAL WOOD</t>
  </si>
  <si>
    <t>F684L-GI/BN</t>
  </si>
  <si>
    <t>CLEAN - LED 60" CEILING FAN</t>
  </si>
  <si>
    <t>CLEAN</t>
  </si>
  <si>
    <t>Z03 LED</t>
  </si>
  <si>
    <t>GREY IRON/BRUSHED NICKEL</t>
  </si>
  <si>
    <t>ETCHED WHITE</t>
  </si>
  <si>
    <t>F684L-GI-BN.JPG</t>
  </si>
  <si>
    <t>F684L</t>
  </si>
  <si>
    <t>ABS+METAL</t>
  </si>
  <si>
    <t>F684L-MBK/BN</t>
  </si>
  <si>
    <t>60 INCH LED CELING FAN</t>
  </si>
  <si>
    <t>MATTE BLACK/BRUSHED NICKEL</t>
  </si>
  <si>
    <t>F684L-MBK-BN.JPG</t>
  </si>
  <si>
    <t>URBAN WALNUT</t>
  </si>
  <si>
    <t>F684L-ORB/TB</t>
  </si>
  <si>
    <t>OIL RUBBED BRONZE/TONED BRASS</t>
  </si>
  <si>
    <t>F684L-ORB-TB.JPG</t>
  </si>
  <si>
    <t>F684L-PN</t>
  </si>
  <si>
    <t>F684L-PN.JPG</t>
  </si>
  <si>
    <t>F688-DBB</t>
  </si>
  <si>
    <t>KOLA - 52" CEILING FAN</t>
  </si>
  <si>
    <t>KOLA</t>
  </si>
  <si>
    <t>F688-DBB.JPG</t>
  </si>
  <si>
    <t>DARK MAPLE/DARK WALNUT</t>
  </si>
  <si>
    <t>F688</t>
  </si>
  <si>
    <t>STEEL+ALUM+PLYWOOD</t>
  </si>
  <si>
    <t>F688-KA</t>
  </si>
  <si>
    <t>F688-KA.JPG</t>
  </si>
  <si>
    <t>TONED MEDIUM MAPLE/DARK MAPLE</t>
  </si>
  <si>
    <t>F688-PW</t>
  </si>
  <si>
    <t>F688-PW.JPG</t>
  </si>
  <si>
    <t>F688-WH</t>
  </si>
  <si>
    <t>F688-WH.JPG</t>
  </si>
  <si>
    <t>F689-DBB</t>
  </si>
  <si>
    <t>KOLA-XL - 60" CEILING FAN</t>
  </si>
  <si>
    <t>KOLA-XL</t>
  </si>
  <si>
    <t>F689-DBB.JPG</t>
  </si>
  <si>
    <t>F689</t>
  </si>
  <si>
    <t>F689-KA</t>
  </si>
  <si>
    <t>F689-KA.JPG</t>
  </si>
  <si>
    <t>TONED MED MAPLE/DARK MAPLE</t>
  </si>
  <si>
    <t>F689-PW</t>
  </si>
  <si>
    <t>F689-PW.JPG</t>
  </si>
  <si>
    <t>F689-WH</t>
  </si>
  <si>
    <t>F689-WH.JPG</t>
  </si>
  <si>
    <t>ESPACE</t>
  </si>
  <si>
    <t>F690L</t>
  </si>
  <si>
    <t>F690L-BN/SL</t>
  </si>
  <si>
    <t>ESPACE - LED 52" CEILING FAN</t>
  </si>
  <si>
    <t>F690L-BN-SL.JPG</t>
  </si>
  <si>
    <t>STEEL+PLYWOOD</t>
  </si>
  <si>
    <t>F690L-ORB/MM</t>
  </si>
  <si>
    <t>OIL RUBBED BRONZE/MEDIUM MAPLE</t>
  </si>
  <si>
    <t>F690L-ORB-MM.JPG</t>
  </si>
  <si>
    <t>F690L-WH</t>
  </si>
  <si>
    <t>F690L-WH.JPG</t>
  </si>
  <si>
    <t>F695-BNK</t>
  </si>
  <si>
    <t>KAFÉ - 52" CEILING FAN</t>
  </si>
  <si>
    <t>KAFE'</t>
  </si>
  <si>
    <t>F695-BNK.JPG</t>
  </si>
  <si>
    <t>F695</t>
  </si>
  <si>
    <t>F695-CL</t>
  </si>
  <si>
    <t>F695-CL.JPG</t>
  </si>
  <si>
    <t>F695-HBZ</t>
  </si>
  <si>
    <t>F695-HBZ.JPG</t>
  </si>
  <si>
    <t>F695-KA</t>
  </si>
  <si>
    <t>KAFE</t>
  </si>
  <si>
    <t>F695-KA.JPG</t>
  </si>
  <si>
    <t>DARK MAPLE/TONED MED MAPLE</t>
  </si>
  <si>
    <t>F695-VP</t>
  </si>
  <si>
    <t>F695-VP.JPG</t>
  </si>
  <si>
    <t>F695-WH</t>
  </si>
  <si>
    <t>F695-WH.JPG</t>
  </si>
  <si>
    <t>F696-BNK</t>
  </si>
  <si>
    <t>KAFÉ-XL - 60" CEILING FAN</t>
  </si>
  <si>
    <t>KAFE-XL</t>
  </si>
  <si>
    <t>F696-BNK.JPG</t>
  </si>
  <si>
    <t>F696</t>
  </si>
  <si>
    <t>F696-CC</t>
  </si>
  <si>
    <t>F696-CC.JPG</t>
  </si>
  <si>
    <t>NATURAL WALNUT/DARK WALNUT</t>
  </si>
  <si>
    <t>F696-CL</t>
  </si>
  <si>
    <t>KAFE'-XL</t>
  </si>
  <si>
    <t>F696-CL.JPG</t>
  </si>
  <si>
    <t>F696-HBZ</t>
  </si>
  <si>
    <t>F696-HBZ.JPG</t>
  </si>
  <si>
    <t>F696-KA</t>
  </si>
  <si>
    <t>F696-KA.JPG</t>
  </si>
  <si>
    <t>F696-VP</t>
  </si>
  <si>
    <t>F696-VP.JPG</t>
  </si>
  <si>
    <t>F696-WH</t>
  </si>
  <si>
    <t>F696-WH.JPG</t>
  </si>
  <si>
    <t>F701-DRB</t>
  </si>
  <si>
    <t>DELANO® - 52" CEILING FAN</t>
  </si>
  <si>
    <t>DELANO®</t>
  </si>
  <si>
    <t>Rustic Scavo</t>
  </si>
  <si>
    <t>F701-DRB.JPG</t>
  </si>
  <si>
    <t>F701</t>
  </si>
  <si>
    <t>F701-DRF</t>
  </si>
  <si>
    <t>T4 Mini Cand</t>
  </si>
  <si>
    <t>C-7 Cand</t>
  </si>
  <si>
    <t>Rustic Savo</t>
  </si>
  <si>
    <t>F701-DRF.JPG</t>
  </si>
  <si>
    <t>F701-KA</t>
  </si>
  <si>
    <t>T4 MINI CAND</t>
  </si>
  <si>
    <t>C-7 CAND</t>
  </si>
  <si>
    <t>RUSTIC SCAVO</t>
  </si>
  <si>
    <t>F701-KA.JPG</t>
  </si>
  <si>
    <t>DARK WALNUT / MEDIUM MAPLE</t>
  </si>
  <si>
    <t>F701-PN</t>
  </si>
  <si>
    <t>MINI CAN</t>
  </si>
  <si>
    <t>F701-PN.JPG</t>
  </si>
  <si>
    <t>F701-PW</t>
  </si>
  <si>
    <t>Etched Marble</t>
  </si>
  <si>
    <t>F701-PW.JPG</t>
  </si>
  <si>
    <t>Natural Walnut</t>
  </si>
  <si>
    <t>F702-BCW</t>
  </si>
  <si>
    <t>T4(E11) Mini Cand Halogen Clear</t>
  </si>
  <si>
    <t>F702-BCW.JPG</t>
  </si>
  <si>
    <t>F702</t>
  </si>
  <si>
    <t>F702-VB</t>
  </si>
  <si>
    <t>French Scvao</t>
  </si>
  <si>
    <t>F702-VB.JPG</t>
  </si>
  <si>
    <t>F705-STW</t>
  </si>
  <si>
    <t>F705-STW.JPG</t>
  </si>
  <si>
    <t>F705</t>
  </si>
  <si>
    <t>F711-DRB</t>
  </si>
  <si>
    <t>DELANO® II - 52" CEILING FAN</t>
  </si>
  <si>
    <t>DELANO® II</t>
  </si>
  <si>
    <t>F711-DRB.JPG</t>
  </si>
  <si>
    <t>F711</t>
  </si>
  <si>
    <t>METAL+GLASS+PLYWOOD</t>
  </si>
  <si>
    <t>F711-PN</t>
  </si>
  <si>
    <t>F711-PN.JPG</t>
  </si>
  <si>
    <t>F711-PW</t>
  </si>
  <si>
    <t>F711-PW.JPG</t>
  </si>
  <si>
    <t>F715-STW</t>
  </si>
  <si>
    <t>F715-STW.JPG</t>
  </si>
  <si>
    <t>F715</t>
  </si>
  <si>
    <t>F726-BN/SL</t>
  </si>
  <si>
    <t>SPECTRE - LED 60" CEILING FAN</t>
  </si>
  <si>
    <t>SPECTRE</t>
  </si>
  <si>
    <t>F726-BN-SL.JPG</t>
  </si>
  <si>
    <t>F726</t>
  </si>
  <si>
    <t>ALUMINUM+ABS+LENS</t>
  </si>
  <si>
    <t>F726-ORB/AB</t>
  </si>
  <si>
    <t>OIL RUBBED BRONZE WITH ANTIQUE BRASS</t>
  </si>
  <si>
    <t>F726-ORB-AB.JPG</t>
  </si>
  <si>
    <t>F726-ORB/BN</t>
  </si>
  <si>
    <t>OIL RUBBED BRONZE/BRUSHED NICKEL</t>
  </si>
  <si>
    <t>F726-ORB-BN.JPG</t>
  </si>
  <si>
    <t>F727-BN/MM</t>
  </si>
  <si>
    <t>RUDOLPH - 52" CEILING FAN</t>
  </si>
  <si>
    <t>RUDOLPH</t>
  </si>
  <si>
    <t>BRUSHED NICKEL W/ MEDIUM MAPLE</t>
  </si>
  <si>
    <t>F727-BN-MM.JPG</t>
  </si>
  <si>
    <t>F727</t>
  </si>
  <si>
    <t>F727-BN/SL</t>
  </si>
  <si>
    <t>F727-BN-SL.JPG</t>
  </si>
  <si>
    <t>F727-CL</t>
  </si>
  <si>
    <t>F727-CL.JPG</t>
  </si>
  <si>
    <t>F727-DK</t>
  </si>
  <si>
    <t>F727-DK.JPG</t>
  </si>
  <si>
    <t>ALUM+STEEL+ABS</t>
  </si>
  <si>
    <t>F727-ORB</t>
  </si>
  <si>
    <t>F727-ORB.JPG</t>
  </si>
  <si>
    <t>F727-WHF</t>
  </si>
  <si>
    <t>F727-WHF.JPG</t>
  </si>
  <si>
    <t>F729-BN</t>
  </si>
  <si>
    <t>STEAL - 54" CEILING FAN</t>
  </si>
  <si>
    <t>STEAL</t>
  </si>
  <si>
    <t>F729-BN.JPG</t>
  </si>
  <si>
    <t>F729</t>
  </si>
  <si>
    <t>F729-GM</t>
  </si>
  <si>
    <t>F729-GM.JPG</t>
  </si>
  <si>
    <t>5 DEGREES</t>
  </si>
  <si>
    <t>metal+brass</t>
  </si>
  <si>
    <t>F729-WHF</t>
  </si>
  <si>
    <t>F729-WHF.JPG</t>
  </si>
  <si>
    <t>F734-GL</t>
  </si>
  <si>
    <t>STRATA - 52" CEILING FAN</t>
  </si>
  <si>
    <t>STRATA</t>
  </si>
  <si>
    <t>F734-GL.JPG</t>
  </si>
  <si>
    <t>F734</t>
  </si>
  <si>
    <t>F734-ORB</t>
  </si>
  <si>
    <t>T4,75W MINI-CAND HALOGEN</t>
  </si>
  <si>
    <t>TINTED OPAL</t>
  </si>
  <si>
    <t>F734-ORB.JPG</t>
  </si>
  <si>
    <t>F734-SI</t>
  </si>
  <si>
    <t>MINI CAND T4</t>
  </si>
  <si>
    <t>F734-SI.JPG</t>
  </si>
  <si>
    <t>F736L-BS/SDBK</t>
  </si>
  <si>
    <t>GEAR - LED 54" CEILING FAN</t>
  </si>
  <si>
    <t>GEAR</t>
  </si>
  <si>
    <t>BRUSHED STEEL/SAND BLACK</t>
  </si>
  <si>
    <t>F736L-BS-SDBK.JPG</t>
  </si>
  <si>
    <t>F736L</t>
  </si>
  <si>
    <t>ABS+Metal</t>
  </si>
  <si>
    <t>F736L-BS/WHF</t>
  </si>
  <si>
    <t>BRUSHED STEEL/FLAT WHITE</t>
  </si>
  <si>
    <t>F736L-BS-WHF.JPG</t>
  </si>
  <si>
    <t>F736L-PN/BS</t>
  </si>
  <si>
    <t>POLISHED NICKEL/BRUSHED STEEL</t>
  </si>
  <si>
    <t>F736L-PN-BS.JPG</t>
  </si>
  <si>
    <t>BRUSHED SILVER</t>
  </si>
  <si>
    <t>F736L-PN/ORB</t>
  </si>
  <si>
    <t>POLISHED NICKEL/OIL RUBBED BRO</t>
  </si>
  <si>
    <t>F736L-PN-ORB.JPG</t>
  </si>
  <si>
    <t>F738-DK</t>
  </si>
  <si>
    <t>PANCAKE - 52" CEILING FAN</t>
  </si>
  <si>
    <t>PANCAKE</t>
  </si>
  <si>
    <t>F738-DK.JPG</t>
  </si>
  <si>
    <t>F738</t>
  </si>
  <si>
    <t>F738-SL</t>
  </si>
  <si>
    <t>F738-SL.JPG</t>
  </si>
  <si>
    <t>F738-WHF</t>
  </si>
  <si>
    <t>F738-WHF.JPG</t>
  </si>
  <si>
    <t>F739L-BN</t>
  </si>
  <si>
    <t>62" LED CEILING FAN</t>
  </si>
  <si>
    <t>PANCAKE XL - LED 62" CEILING FAN</t>
  </si>
  <si>
    <t>PANCAKE XL LED</t>
  </si>
  <si>
    <t>ACRYLIC</t>
  </si>
  <si>
    <t>F739L-BN.JPG</t>
  </si>
  <si>
    <t>F739L</t>
  </si>
  <si>
    <t>F739L-DK</t>
  </si>
  <si>
    <t>WHITE ACRYLIC SHADE</t>
  </si>
  <si>
    <t>F739L-DK.JPG</t>
  </si>
  <si>
    <t>12.5 PITCH</t>
  </si>
  <si>
    <t>F739L-SL</t>
  </si>
  <si>
    <t>F739L-SL.JPG</t>
  </si>
  <si>
    <t>12.5 degrees</t>
  </si>
  <si>
    <t>F739L-WHF</t>
  </si>
  <si>
    <t>F739L-WHF.JPG</t>
  </si>
  <si>
    <t>F745-BN</t>
  </si>
  <si>
    <t>SABOT - LED 52" CEILING FAN</t>
  </si>
  <si>
    <t>SABOT</t>
  </si>
  <si>
    <t>LENS</t>
  </si>
  <si>
    <t>FROSTED/WHITE</t>
  </si>
  <si>
    <t>F745-BN.JPG</t>
  </si>
  <si>
    <t>F745</t>
  </si>
  <si>
    <t>STEEL+ALUMINUM+PLYWOOD+LENS</t>
  </si>
  <si>
    <t>F745-DK</t>
  </si>
  <si>
    <t>F745-DK.JPG</t>
  </si>
  <si>
    <t>MEDIUM MAPLE/DARK WALNUT (REVERSIBLE)</t>
  </si>
  <si>
    <t>F745-ORB</t>
  </si>
  <si>
    <t>F745-ORB.JPG</t>
  </si>
  <si>
    <t>MEDIUM MAPLE/DARK MAPLE</t>
  </si>
  <si>
    <t>TIMBER</t>
  </si>
  <si>
    <t>VARIABLE</t>
  </si>
  <si>
    <t>F753-BNW</t>
  </si>
  <si>
    <t>JAVA - 54" CEILING FAN</t>
  </si>
  <si>
    <t>JAVA</t>
  </si>
  <si>
    <t>F753-BNW.JPG</t>
  </si>
  <si>
    <t>6"</t>
  </si>
  <si>
    <t>F753</t>
  </si>
  <si>
    <t>F753-CL</t>
  </si>
  <si>
    <t>54 INCH CEILING FAN</t>
  </si>
  <si>
    <t>F753-CL.JPG</t>
  </si>
  <si>
    <t>F753-KA</t>
  </si>
  <si>
    <t>F753-KA.JPG</t>
  </si>
  <si>
    <t>F753-PN</t>
  </si>
  <si>
    <t>F753-PN.JPG</t>
  </si>
  <si>
    <t>Polished Nickel</t>
  </si>
  <si>
    <t>F753-WHF</t>
  </si>
  <si>
    <t>F753-WHF.JPG</t>
  </si>
  <si>
    <t>F753L-BNW</t>
  </si>
  <si>
    <t>JAVA - LED 54" CEILING FAN</t>
  </si>
  <si>
    <t>JAVA LED</t>
  </si>
  <si>
    <t>OPAL FROSTED</t>
  </si>
  <si>
    <t>F753L-BNW.JPG</t>
  </si>
  <si>
    <t>ABS+STAINLESS STEEL</t>
  </si>
  <si>
    <t>F753L-CL</t>
  </si>
  <si>
    <t>54 INCH LED CEILING FAN</t>
  </si>
  <si>
    <t>Z17 17W LED</t>
  </si>
  <si>
    <t>F753L-CL.JPG</t>
  </si>
  <si>
    <t>F753L</t>
  </si>
  <si>
    <t>F753L-KA</t>
  </si>
  <si>
    <t>F753L-KA.JPG</t>
  </si>
  <si>
    <t>F753L-PN</t>
  </si>
  <si>
    <t>F753L-PN.JPG</t>
  </si>
  <si>
    <t>F753L-WHF</t>
  </si>
  <si>
    <t>F753L-WHF.JPG</t>
  </si>
  <si>
    <t>F759-PBL</t>
  </si>
  <si>
    <t>CLASSICA UNI-PACK</t>
  </si>
  <si>
    <t>F759-PBL.JPG</t>
  </si>
  <si>
    <t>F759</t>
  </si>
  <si>
    <t>F786-BNW</t>
  </si>
  <si>
    <t>SIMPLE - 44" CEILING FAN</t>
  </si>
  <si>
    <t>SIMPLE 44"</t>
  </si>
  <si>
    <t>F786-BNW.JPG</t>
  </si>
  <si>
    <t>F786</t>
  </si>
  <si>
    <t>F786-CL</t>
  </si>
  <si>
    <t>44" CEILING FAN</t>
  </si>
  <si>
    <t>F786-CL.JPG</t>
  </si>
  <si>
    <t>F786-ORB</t>
  </si>
  <si>
    <t>F786-ORB.JPG</t>
  </si>
  <si>
    <t>F786-SL</t>
  </si>
  <si>
    <t>F786-SL.JPG</t>
  </si>
  <si>
    <t>F786-WHF</t>
  </si>
  <si>
    <t>F786-WHF.JPG</t>
  </si>
  <si>
    <t>F787-BNW</t>
  </si>
  <si>
    <t>52" OUTDOOR CEILING FAN</t>
  </si>
  <si>
    <t>SIMPLE - 52" CEILING FAN</t>
  </si>
  <si>
    <t>SIMPLE</t>
  </si>
  <si>
    <t>F787-BNW.JPG</t>
  </si>
  <si>
    <t>F787</t>
  </si>
  <si>
    <t>STEEL+ALUMINUM+ABS</t>
  </si>
  <si>
    <t>F787-CL</t>
  </si>
  <si>
    <t>52" CEILING FAN OUTDOOR</t>
  </si>
  <si>
    <t>F787-CL.JPG</t>
  </si>
  <si>
    <t>F787-ORB</t>
  </si>
  <si>
    <t>F787-ORB.JPG</t>
  </si>
  <si>
    <t>F787-SL</t>
  </si>
  <si>
    <t>F787-SL.JPG</t>
  </si>
  <si>
    <t>F787-WHF</t>
  </si>
  <si>
    <t>52"CEILING FAN OUTDOOR</t>
  </si>
  <si>
    <t>F787-WHF.JPG</t>
  </si>
  <si>
    <t>F788L-GS</t>
  </si>
  <si>
    <t>DREAM STAR - LED 60" CEILING FAN</t>
  </si>
  <si>
    <t>DREAM STAR</t>
  </si>
  <si>
    <t>Z32 LED</t>
  </si>
  <si>
    <t>ETCHED OPAL FINISH</t>
  </si>
  <si>
    <t>F788L-GS.JPG</t>
  </si>
  <si>
    <t>F788L</t>
  </si>
  <si>
    <t>F788L-ORB</t>
  </si>
  <si>
    <t>F788L-ORB.JPG</t>
  </si>
  <si>
    <t>F788L-WH</t>
  </si>
  <si>
    <t>F788L-WH.JPG</t>
  </si>
  <si>
    <t>F802-BN/CH</t>
  </si>
  <si>
    <t>42" CEILING FAN</t>
  </si>
  <si>
    <t>T4(E11)Mini Cand Halogen</t>
  </si>
  <si>
    <t>F802-BN-CH.JPG</t>
  </si>
  <si>
    <t>F802</t>
  </si>
  <si>
    <t>F802-KA</t>
  </si>
  <si>
    <t>F802-KA.JPG</t>
  </si>
  <si>
    <t>F802-ORB</t>
  </si>
  <si>
    <t>F802-ORB.JPG</t>
  </si>
  <si>
    <t>F802-PN</t>
  </si>
  <si>
    <t>42"CEILING FAN</t>
  </si>
  <si>
    <t>T4(E11) MINI CAND</t>
  </si>
  <si>
    <t>F802-PN.JPG</t>
  </si>
  <si>
    <t>ABS CONSTRUCTION</t>
  </si>
  <si>
    <t>F803L-BK</t>
  </si>
  <si>
    <t>F803L-BK.JPG</t>
  </si>
  <si>
    <t>GLOSS BLACK</t>
  </si>
  <si>
    <t>F803L</t>
  </si>
  <si>
    <t>PC+STEEL+ALUM</t>
  </si>
  <si>
    <t>F803L-CPBR</t>
  </si>
  <si>
    <t>F803L-CPBR.JPG</t>
  </si>
  <si>
    <t>ALUM+PC+STEEL</t>
  </si>
  <si>
    <t>F803L-DK</t>
  </si>
  <si>
    <t>F803L-DK.JPG</t>
  </si>
  <si>
    <t>PC+STEEL+ALUMINUM</t>
  </si>
  <si>
    <t>F803L-LN</t>
  </si>
  <si>
    <t>F803L-LN.JPG</t>
  </si>
  <si>
    <t>F803L-MP</t>
  </si>
  <si>
    <t>F803L-MP.JPG</t>
  </si>
  <si>
    <t>F803L-SL</t>
  </si>
  <si>
    <t>F803L-SL.JPG</t>
  </si>
  <si>
    <t>F803L-TL</t>
  </si>
  <si>
    <t>58"LED CEILING FAN</t>
  </si>
  <si>
    <t>F803L-TL.JPG</t>
  </si>
  <si>
    <t>F803L-WH</t>
  </si>
  <si>
    <t>F803L-WH.JPG</t>
  </si>
  <si>
    <t>F820-CT</t>
  </si>
  <si>
    <t>T4 (E11) MINI CAND Halogen Clear</t>
  </si>
  <si>
    <t>COGNAC FLUTTED ETCHED</t>
  </si>
  <si>
    <t>F820-CT.JPG</t>
  </si>
  <si>
    <t>F820</t>
  </si>
  <si>
    <t>PLYWOOD CONSTRUCTION</t>
  </si>
  <si>
    <t>F823-DK</t>
  </si>
  <si>
    <t>WING - 52" CEILING FAN</t>
  </si>
  <si>
    <t>WING</t>
  </si>
  <si>
    <t>F823-DK.JPG</t>
  </si>
  <si>
    <t>F823</t>
  </si>
  <si>
    <t>METAL+PC CONSTRUCTION</t>
  </si>
  <si>
    <t>F823-SL</t>
  </si>
  <si>
    <t>F823-SL.JPG</t>
  </si>
  <si>
    <t>HIGH SILVER</t>
  </si>
  <si>
    <t>metal+pc construction</t>
  </si>
  <si>
    <t>F823-WH</t>
  </si>
  <si>
    <t>F823-WH.JPG</t>
  </si>
  <si>
    <t>F828-BN</t>
  </si>
  <si>
    <t>56" LED CEILING FAN</t>
  </si>
  <si>
    <t>SYMBIO - LED 56" CEILING FAN</t>
  </si>
  <si>
    <t>SYMBIO</t>
  </si>
  <si>
    <t>DC LED</t>
  </si>
  <si>
    <t>F828-BN.JPG</t>
  </si>
  <si>
    <t>15 DEGREES</t>
  </si>
  <si>
    <t>F828</t>
  </si>
  <si>
    <t>F828-BN/DW</t>
  </si>
  <si>
    <t>F828-BN-DW.JPG</t>
  </si>
  <si>
    <t>F828-BN/WH</t>
  </si>
  <si>
    <t>BRUSHED NICKEL/WHITE</t>
  </si>
  <si>
    <t>F828-BN-WH.JPG</t>
  </si>
  <si>
    <t>F828-ORB</t>
  </si>
  <si>
    <t>F828-ORB.JPG</t>
  </si>
  <si>
    <t>F828-WHF</t>
  </si>
  <si>
    <t>F828-WHF.JPG</t>
  </si>
  <si>
    <t>F829L-CH/CH</t>
  </si>
  <si>
    <t>MOJAVE - LED 56" CEILING FAN</t>
  </si>
  <si>
    <t>MOJAVE</t>
  </si>
  <si>
    <t>F829L-CH-CH.JPG</t>
  </si>
  <si>
    <t>21 DEGREES</t>
  </si>
  <si>
    <t>F829L</t>
  </si>
  <si>
    <t>F829L-CH/SL</t>
  </si>
  <si>
    <t>F829L-CH-SL.JPG</t>
  </si>
  <si>
    <t>F829L-SL</t>
  </si>
  <si>
    <t>F829L-SL.JPG</t>
  </si>
  <si>
    <t>F829L-WHF</t>
  </si>
  <si>
    <t>F829L-WHF.JPG</t>
  </si>
  <si>
    <t>F831L-FLR</t>
  </si>
  <si>
    <t>60" LED CEILING FAN</t>
  </si>
  <si>
    <t>TEAR - LED 60" CEILING FAN</t>
  </si>
  <si>
    <t>TEAR</t>
  </si>
  <si>
    <t>FLOWER</t>
  </si>
  <si>
    <t>F831L-FLR.JPG</t>
  </si>
  <si>
    <t>F831L</t>
  </si>
  <si>
    <t>F831L-ORB</t>
  </si>
  <si>
    <t>F831L-ORB.JPG</t>
  </si>
  <si>
    <t>F831L-SL</t>
  </si>
  <si>
    <t>60" LED CELING FAN</t>
  </si>
  <si>
    <t>F831L-SL.JPG</t>
  </si>
  <si>
    <t>F831L-TD</t>
  </si>
  <si>
    <t>TIE DYE</t>
  </si>
  <si>
    <t>F831L-TD.JPG</t>
  </si>
  <si>
    <t>TYE DYE</t>
  </si>
  <si>
    <t>F831L-WHF</t>
  </si>
  <si>
    <t>F831L-WHF.JPG</t>
  </si>
  <si>
    <t>F832L-BN/SL</t>
  </si>
  <si>
    <t>TRIPLE - LED 60" CEILING FAN</t>
  </si>
  <si>
    <t>TRIPLE</t>
  </si>
  <si>
    <t>F832L-BN-SL.JPG</t>
  </si>
  <si>
    <t>F832L</t>
  </si>
  <si>
    <t>F832L-BS</t>
  </si>
  <si>
    <t>F832L-BS.JPG</t>
  </si>
  <si>
    <t>URBAN LIGHT OAK</t>
  </si>
  <si>
    <t>F832L-ORB/MM</t>
  </si>
  <si>
    <t>F832L-ORB-MM.JPG</t>
  </si>
  <si>
    <t>F832L-VI</t>
  </si>
  <si>
    <t>VINTAGE IRON</t>
  </si>
  <si>
    <t>F832L-VI.JPG</t>
  </si>
  <si>
    <t>F833-BK</t>
  </si>
  <si>
    <t>KEWL - 52" CEILING FAN</t>
  </si>
  <si>
    <t>KEWL</t>
  </si>
  <si>
    <t>F833-BK.JPG</t>
  </si>
  <si>
    <t>F833-RD</t>
  </si>
  <si>
    <t>F833-RD.JPG</t>
  </si>
  <si>
    <t>F833-SL</t>
  </si>
  <si>
    <t>F833-SL.JPG</t>
  </si>
  <si>
    <t>F833-WH</t>
  </si>
  <si>
    <t>F833-WH.JPG</t>
  </si>
  <si>
    <t>F838L-DK</t>
  </si>
  <si>
    <t>FORCE - LED 60" CEILING FAN</t>
  </si>
  <si>
    <t>FORCE</t>
  </si>
  <si>
    <t>WHITE LENS</t>
  </si>
  <si>
    <t>F838L-DK.JPG</t>
  </si>
  <si>
    <t>F838L</t>
  </si>
  <si>
    <t>F838L-SL</t>
  </si>
  <si>
    <t>F838L-SL.JPG</t>
  </si>
  <si>
    <t>F838L-WH</t>
  </si>
  <si>
    <t>PC COVER</t>
  </si>
  <si>
    <t>F838L-WH.JPG</t>
  </si>
  <si>
    <t>F838</t>
  </si>
  <si>
    <t>ABS/STEEL/METAL</t>
  </si>
  <si>
    <t>WAVE</t>
  </si>
  <si>
    <t>F843</t>
  </si>
  <si>
    <t>F843-DK</t>
  </si>
  <si>
    <t>WAVE - 52" CEILING FAN</t>
  </si>
  <si>
    <t>F843-DK.JPG</t>
  </si>
  <si>
    <t>F843-SL</t>
  </si>
  <si>
    <t>F843-SL.JPG</t>
  </si>
  <si>
    <t>F843-WH</t>
  </si>
  <si>
    <t>F843-WH.JPG</t>
  </si>
  <si>
    <t>F844-CL</t>
  </si>
  <si>
    <t>LIGHT WAVE - LED 52" CEILING FAN</t>
  </si>
  <si>
    <t>LIGHT WAVE LED</t>
  </si>
  <si>
    <t>F844-CL.JPG</t>
  </si>
  <si>
    <t>F844</t>
  </si>
  <si>
    <t>ABS CONSTRUCTION+ZINC+ALUMINUM</t>
  </si>
  <si>
    <t>LIGHT WAVE</t>
  </si>
  <si>
    <t>Z19 LED</t>
  </si>
  <si>
    <t>F844-DK</t>
  </si>
  <si>
    <t>F844-DK.JPG</t>
  </si>
  <si>
    <t>ABS BLADES</t>
  </si>
  <si>
    <t>F844-SL</t>
  </si>
  <si>
    <t>F844-SL.JPG</t>
  </si>
  <si>
    <t>ABS CONSTRCTION+ZINC+ALUMINUM</t>
  </si>
  <si>
    <t>F844-WH</t>
  </si>
  <si>
    <t>F844-WH.JPG</t>
  </si>
  <si>
    <t>F846-DK</t>
  </si>
  <si>
    <t>WAVE II - 60" CEILING FAN</t>
  </si>
  <si>
    <t>WAVE II</t>
  </si>
  <si>
    <t>F846-DK.JPG</t>
  </si>
  <si>
    <t>F846</t>
  </si>
  <si>
    <t>F846-SL</t>
  </si>
  <si>
    <t>F846-SL.JPG</t>
  </si>
  <si>
    <t>F846-WHF</t>
  </si>
  <si>
    <t>F846-WHF.JPG</t>
  </si>
  <si>
    <t>F847L-HBZ/AW</t>
  </si>
  <si>
    <t>84" LED CEILING FAN</t>
  </si>
  <si>
    <t>TIMBER - LED 84" CEILING FAN</t>
  </si>
  <si>
    <t>HEIRLOOM BRONZE/AGED BOARDWALK</t>
  </si>
  <si>
    <t>F847L-HBZ-AW.JPG</t>
  </si>
  <si>
    <t>24 DEGREES</t>
  </si>
  <si>
    <t>F847L</t>
  </si>
  <si>
    <t>STEEL+WOOD</t>
  </si>
  <si>
    <t>F847L-HBZ/MP</t>
  </si>
  <si>
    <t>HEIRLOOM BRONZE/MAPLE</t>
  </si>
  <si>
    <t>F847L-HBZ-MP.JPG</t>
  </si>
  <si>
    <t>STEEL/WOOD</t>
  </si>
  <si>
    <t>F849L-BN/SL</t>
  </si>
  <si>
    <t>STACK - LED 56" CEILING FAN</t>
  </si>
  <si>
    <t>STACK</t>
  </si>
  <si>
    <t>F849L-BN-SL.JPG</t>
  </si>
  <si>
    <t>F849L</t>
  </si>
  <si>
    <t>F849L-SL</t>
  </si>
  <si>
    <t>F849L-SL.JPG</t>
  </si>
  <si>
    <t>F849L-WH</t>
  </si>
  <si>
    <t>F849L-WH.JPG</t>
  </si>
  <si>
    <t>F852L-BN</t>
  </si>
  <si>
    <t>ALVA - LED 56" CEILING FAN</t>
  </si>
  <si>
    <t>ALVA</t>
  </si>
  <si>
    <t>Z31 LED FERRO BULB</t>
  </si>
  <si>
    <t>F852L-BN.JPG</t>
  </si>
  <si>
    <t>F852L</t>
  </si>
  <si>
    <t>METAL+WOOD</t>
  </si>
  <si>
    <t>F852L-HBZ</t>
  </si>
  <si>
    <t>F852L-HBZ.JPG</t>
  </si>
  <si>
    <t>F852L-TI</t>
  </si>
  <si>
    <t>LED FERRO BULB</t>
  </si>
  <si>
    <t>F852L-TI.JPG</t>
  </si>
  <si>
    <t>F853-BN/AMP</t>
  </si>
  <si>
    <t>60 INCH CEILING FAN</t>
  </si>
  <si>
    <t>AVIATION - 60" CEILING FAN</t>
  </si>
  <si>
    <t>AVIATION</t>
  </si>
  <si>
    <t>BRUSHED NICKEL/ASH MAPLE</t>
  </si>
  <si>
    <t>F853-BN-AMP.JPG</t>
  </si>
  <si>
    <t>ASH MAPLE</t>
  </si>
  <si>
    <t>F853</t>
  </si>
  <si>
    <t>F853-BN/CL</t>
  </si>
  <si>
    <t>BRUSHED NICKEL/COAL</t>
  </si>
  <si>
    <t>F853-BN-CL.JPG</t>
  </si>
  <si>
    <t>F853-BN/DK</t>
  </si>
  <si>
    <t>BRUSHED NICKEL W/ DISTRESSED KOA</t>
  </si>
  <si>
    <t>F853-BN-DK.JPG</t>
  </si>
  <si>
    <t>F853-BN/MM</t>
  </si>
  <si>
    <t>F853-BN-MM.JPG</t>
  </si>
  <si>
    <t>F853-BN/SL</t>
  </si>
  <si>
    <t>F853-BN-SL.JPG</t>
  </si>
  <si>
    <t>F853-RW</t>
  </si>
  <si>
    <t>F853-RW.JPG</t>
  </si>
  <si>
    <t>F853-WH</t>
  </si>
  <si>
    <t>F853-WH.JPG</t>
  </si>
  <si>
    <t>F853L-BN/AMP</t>
  </si>
  <si>
    <t>AVIATION - LED 60" CEILING FAN</t>
  </si>
  <si>
    <t>AVIATION LED</t>
  </si>
  <si>
    <t>F853L-BN-AMP.JPG</t>
  </si>
  <si>
    <t>F853L</t>
  </si>
  <si>
    <t>F853L-BN/CL</t>
  </si>
  <si>
    <t>F853L-BN-CL.JPG</t>
  </si>
  <si>
    <t>F853L-BN/DK</t>
  </si>
  <si>
    <t>BRUSHED NICKEL W/ DISTRESSED K</t>
  </si>
  <si>
    <t>F853L-BN-DK.JPG</t>
  </si>
  <si>
    <t>F853L-BN/MM</t>
  </si>
  <si>
    <t>F853L-BN-MM.JPG</t>
  </si>
  <si>
    <t>F853L-BN/SL</t>
  </si>
  <si>
    <t>ACYRLIC</t>
  </si>
  <si>
    <t>F853L-BN-SL.JPG</t>
  </si>
  <si>
    <t>F853L-BN/WH</t>
  </si>
  <si>
    <t>F853L-BN-WH.JPG</t>
  </si>
  <si>
    <t>F868L-BN</t>
  </si>
  <si>
    <t>60IN SLEEK LED FAN</t>
  </si>
  <si>
    <t>SLEEK - LED 60" CEILING FAN</t>
  </si>
  <si>
    <t>SLEEK</t>
  </si>
  <si>
    <t>Z42</t>
  </si>
  <si>
    <t>F868L-BN.JPG</t>
  </si>
  <si>
    <t>SEASONED WOOD</t>
  </si>
  <si>
    <t>F868L-ORB</t>
  </si>
  <si>
    <t>60IN SLEEK FAN</t>
  </si>
  <si>
    <t>F868L-ORB.JPG</t>
  </si>
  <si>
    <t>F868L-WHF</t>
  </si>
  <si>
    <t>F868L-WHF.JPG</t>
  </si>
  <si>
    <t>BLEACHED SEASONED WOOD</t>
  </si>
  <si>
    <t>F870L-BS</t>
  </si>
  <si>
    <t>65IN LED CEILING FAN</t>
  </si>
  <si>
    <t>WINDMOLEN - LED 65" CEILING FAN</t>
  </si>
  <si>
    <t>WINDMOLEN</t>
  </si>
  <si>
    <t>F870L-BS.JPG</t>
  </si>
  <si>
    <t>10IN</t>
  </si>
  <si>
    <t>F870L</t>
  </si>
  <si>
    <t>F870L-TCL</t>
  </si>
  <si>
    <t>F870L-TCL.JPG</t>
  </si>
  <si>
    <t>F870L-TW</t>
  </si>
  <si>
    <t>F870L-TW.JPG</t>
  </si>
  <si>
    <t>20 DEGREE</t>
  </si>
  <si>
    <t>F887-72-BN</t>
  </si>
  <si>
    <t>XTREME - 72" CEILING FAN</t>
  </si>
  <si>
    <t>XTREME</t>
  </si>
  <si>
    <t>F887-72-BN.JPG</t>
  </si>
  <si>
    <t>4 DEGREES</t>
  </si>
  <si>
    <t>F887</t>
  </si>
  <si>
    <t>F887-72-ORB</t>
  </si>
  <si>
    <t>F887-72-ORB.JPG</t>
  </si>
  <si>
    <t>ALUMINUM+METAL</t>
  </si>
  <si>
    <t>F887-96-BN</t>
  </si>
  <si>
    <t>XTREME - 96" CEILING FAN</t>
  </si>
  <si>
    <t>F887-96-BN.JPG</t>
  </si>
  <si>
    <t>F887-96-ORB</t>
  </si>
  <si>
    <t>F887-96-ORB.JPG</t>
  </si>
  <si>
    <t>F888-BNW</t>
  </si>
  <si>
    <t>SLIPSTREAM - 65" CEILING FAN</t>
  </si>
  <si>
    <t>SLIPSTREAM</t>
  </si>
  <si>
    <t>SEMI SPIRAL CFL</t>
  </si>
  <si>
    <t>F888-BNW.JPG</t>
  </si>
  <si>
    <t>F888</t>
  </si>
  <si>
    <t>F888-DK</t>
  </si>
  <si>
    <t>F888-DK.JPG</t>
  </si>
  <si>
    <t>F888-ORB</t>
  </si>
  <si>
    <t>F888-ORB.JPG</t>
  </si>
  <si>
    <t>F888-WHF</t>
  </si>
  <si>
    <t>F888-WHF.JPG</t>
  </si>
  <si>
    <t>F888L-BNW</t>
  </si>
  <si>
    <t>65 INCH CEILING FAN</t>
  </si>
  <si>
    <t>SLIPSTREAM LED - 65" CEILING FAN</t>
  </si>
  <si>
    <t>SLIPSTREAM LED</t>
  </si>
  <si>
    <t>F888L-BNW.JPG</t>
  </si>
  <si>
    <t>F888L-CL</t>
  </si>
  <si>
    <t>65 INCH LED CEILING FAN</t>
  </si>
  <si>
    <t>Z32 18W LED</t>
  </si>
  <si>
    <t>F888L-CL.JPG</t>
  </si>
  <si>
    <t>F888L</t>
  </si>
  <si>
    <t>F888L-DK</t>
  </si>
  <si>
    <t>Z32, LED</t>
  </si>
  <si>
    <t>F888L-DK.JPG</t>
  </si>
  <si>
    <t>F888L-ORB</t>
  </si>
  <si>
    <t>F888L-ORB.JPG</t>
  </si>
  <si>
    <t>F888L-WHF</t>
  </si>
  <si>
    <t>F888L-WHF.JPG</t>
  </si>
  <si>
    <t>F896-65-BNW</t>
  </si>
  <si>
    <t>65 INCH OUTDOOR CEILING FAN</t>
  </si>
  <si>
    <t>XTREME H2O - 65" CEILING FAN</t>
  </si>
  <si>
    <t>XTREME H2O 65 INCH</t>
  </si>
  <si>
    <t>F896-65-BNW.JPG</t>
  </si>
  <si>
    <t>F896</t>
  </si>
  <si>
    <t>METAL+ALUM+STAINLESS STEEL</t>
  </si>
  <si>
    <t>F896-65-CL</t>
  </si>
  <si>
    <t>XTREME H2O 65"</t>
  </si>
  <si>
    <t>F896-65-CL.JPG</t>
  </si>
  <si>
    <t>9 DEGREES</t>
  </si>
  <si>
    <t>F896-65-ORB</t>
  </si>
  <si>
    <t>F896-65-ORB.JPG</t>
  </si>
  <si>
    <t>F896-65-WHF</t>
  </si>
  <si>
    <t>F896-65-WHF.JPG</t>
  </si>
  <si>
    <t>F896-84-BNW</t>
  </si>
  <si>
    <t>84 INCH OUTDOOR CEILING FAN</t>
  </si>
  <si>
    <t>XTREME H2O - 84" CEILING FAN</t>
  </si>
  <si>
    <t>XTREME H2O 84"</t>
  </si>
  <si>
    <t>F896-84-BNW.JPG</t>
  </si>
  <si>
    <t>METAL+ABS+BRASS</t>
  </si>
  <si>
    <t>F896-84-ORB</t>
  </si>
  <si>
    <t>F896-84-ORB.JPG</t>
  </si>
  <si>
    <t>F896-84-SI</t>
  </si>
  <si>
    <t>F896-84-SI.JPG</t>
  </si>
  <si>
    <t>F899L-BN/SL</t>
  </si>
  <si>
    <t>99" LED CEILING FAN</t>
  </si>
  <si>
    <t>NINETY-NINE - LED 99" CEILING FAN</t>
  </si>
  <si>
    <t>NINETY-NINE</t>
  </si>
  <si>
    <t>F899L-BN-SL.JPG</t>
  </si>
  <si>
    <t>F899</t>
  </si>
  <si>
    <t>ALUM+STEEL+PC</t>
  </si>
  <si>
    <t>F899L-DK</t>
  </si>
  <si>
    <t>F899L-DK.JPG</t>
  </si>
  <si>
    <t>F899L-ORB</t>
  </si>
  <si>
    <t>F899L-ORB.JPG</t>
  </si>
  <si>
    <t>F900-BCW</t>
  </si>
  <si>
    <t>T4E11) Mini Cand Halogen Clear</t>
  </si>
  <si>
    <t>FAUCETED ETCHED CUT GLASS</t>
  </si>
  <si>
    <t>SWAROVSKI</t>
  </si>
  <si>
    <t>F900-BCW.JPG</t>
  </si>
  <si>
    <t>F900</t>
  </si>
  <si>
    <t>F902L-CH</t>
  </si>
  <si>
    <t>BLING - LED 56" CEILING FAN</t>
  </si>
  <si>
    <t>BLING</t>
  </si>
  <si>
    <t>Z11,LED</t>
  </si>
  <si>
    <t>F902L-CH.JPG</t>
  </si>
  <si>
    <t>F902L</t>
  </si>
  <si>
    <t>STEEL+PLYWOOD+CRYSTAL</t>
  </si>
  <si>
    <t>F902L-ORB</t>
  </si>
  <si>
    <t>Z11 4W LED</t>
  </si>
  <si>
    <t>F902L-ORB.JPG</t>
  </si>
  <si>
    <t>F903L-BN/SL</t>
  </si>
  <si>
    <t>64 INCH LED CEILING FAN</t>
  </si>
  <si>
    <t>F903L-BN-SL.JPG</t>
  </si>
  <si>
    <t>F903L</t>
  </si>
  <si>
    <t>F903L-GM/MBK</t>
  </si>
  <si>
    <t>GUN METAL/MATTE BLACK</t>
  </si>
  <si>
    <t>F903L-GM-MBK.JPG</t>
  </si>
  <si>
    <t>F903L-ORB</t>
  </si>
  <si>
    <t>F903L-ORB.JPG</t>
  </si>
  <si>
    <t>F903L-SBR/MBK</t>
  </si>
  <si>
    <t>SOFT BRASS/MATTE BLACK</t>
  </si>
  <si>
    <t>F903L-SBR-MBK.JPG</t>
  </si>
  <si>
    <t>F905L-DK</t>
  </si>
  <si>
    <t>F905L-DK.JPG</t>
  </si>
  <si>
    <t>F905L</t>
  </si>
  <si>
    <t>F905L-LN</t>
  </si>
  <si>
    <t>F905L-LN.JPG</t>
  </si>
  <si>
    <t>F905L-SL</t>
  </si>
  <si>
    <t>F905L-SL.JPG</t>
  </si>
  <si>
    <t>F905L-WH</t>
  </si>
  <si>
    <t>F905L-WH.JPG</t>
  </si>
  <si>
    <t>FB103S-DM</t>
  </si>
  <si>
    <t>FAN BLADE</t>
  </si>
  <si>
    <t>DARK MAPLE BLADES FOR F547/F548/F647</t>
  </si>
  <si>
    <t>FB103S-DM.JPG</t>
  </si>
  <si>
    <t>FB103S-LC</t>
  </si>
  <si>
    <t>LIGHT CHERRY BLADES FOR F547/F548/F647</t>
  </si>
  <si>
    <t>FB103S-LC.JPG</t>
  </si>
  <si>
    <t>FB103S-LM</t>
  </si>
  <si>
    <t>LIGHT MAPLE BLADES FOR F547/F548/F647</t>
  </si>
  <si>
    <t>FB103S-LM.JPG</t>
  </si>
  <si>
    <t>FB103S-NW</t>
  </si>
  <si>
    <t>NATURAL WALNUT BLADES FOR F547/F548/F647</t>
  </si>
  <si>
    <t>FB103S-NW.JPG</t>
  </si>
  <si>
    <t>FB103S-RW</t>
  </si>
  <si>
    <t>ROSEWOOD BLADES FOR F547/F548/F647</t>
  </si>
  <si>
    <t>FB103S-RW.JPG</t>
  </si>
  <si>
    <t>FB103S-WO</t>
  </si>
  <si>
    <t>WASHED OAK BLADES FOR F547/F548/F647</t>
  </si>
  <si>
    <t>FB103S-WO.JPG</t>
  </si>
  <si>
    <t>FB107T-CW</t>
  </si>
  <si>
    <t>CHERRY WOOD BLADES FOR F588</t>
  </si>
  <si>
    <t>FB107T-CW.JPG</t>
  </si>
  <si>
    <t>FB107T-LC</t>
  </si>
  <si>
    <t>LIGHT CHERRY BLADES FOR F588</t>
  </si>
  <si>
    <t>FB107T-LC.JPG</t>
  </si>
  <si>
    <t>FB107T-MM</t>
  </si>
  <si>
    <t>MEDIUM MAPLE BLADES FOR F588</t>
  </si>
  <si>
    <t>FB107T-MM.JPG</t>
  </si>
  <si>
    <t>FB107T-NP</t>
  </si>
  <si>
    <t>NATUAL PINE BLADES FOR F588</t>
  </si>
  <si>
    <t>FB107T-NP.JPG</t>
  </si>
  <si>
    <t>FB107T-NW</t>
  </si>
  <si>
    <t>NATURAL WALNUT BLADES FOR F588</t>
  </si>
  <si>
    <t>FB107T-NW.JPG</t>
  </si>
  <si>
    <t>FB107T-RW</t>
  </si>
  <si>
    <t>ROSEWOOD BLADES FOR F588</t>
  </si>
  <si>
    <t>FB107T-RW.JPG</t>
  </si>
  <si>
    <t>FB107T-WO</t>
  </si>
  <si>
    <t>WASHED OAK BLADES FOR F588</t>
  </si>
  <si>
    <t>FB107T-WO.JPG</t>
  </si>
  <si>
    <t>FB107T-WP</t>
  </si>
  <si>
    <t>WEATHERED PINE BLADES FOR F588</t>
  </si>
  <si>
    <t>FB107T-WP.JPG</t>
  </si>
  <si>
    <t>FB131-SL</t>
  </si>
  <si>
    <t>SILVER BLADES FOR F531</t>
  </si>
  <si>
    <t>FB131-SL.JPG</t>
  </si>
  <si>
    <t>FB196-MG</t>
  </si>
  <si>
    <t>MAHOGANY BLADES FOR F596</t>
  </si>
  <si>
    <t>FB196-MG.JPG</t>
  </si>
  <si>
    <t>FB196-RYB</t>
  </si>
  <si>
    <t>RED, YELLOW, BLUE BLADES FOR F596</t>
  </si>
  <si>
    <t>FB196-RYB.JPG</t>
  </si>
  <si>
    <t>FB201-NW</t>
  </si>
  <si>
    <t>NATURAL WALNUT BLADES FOR F702</t>
  </si>
  <si>
    <t>NATURAL WALNUT</t>
  </si>
  <si>
    <t>FB201-NW.JPG</t>
  </si>
  <si>
    <t>FB201</t>
  </si>
  <si>
    <t>FB216-DM</t>
  </si>
  <si>
    <t>DARK MAPLE BLADES FOR F516/F518</t>
  </si>
  <si>
    <t>FB216-DM.JPG</t>
  </si>
  <si>
    <t>FB216-DW</t>
  </si>
  <si>
    <t>DARK WALNUT BLADES FOR F516/F518</t>
  </si>
  <si>
    <t>FB216-DW.JPG</t>
  </si>
  <si>
    <t>FB216-ORB</t>
  </si>
  <si>
    <t>OIL RUBBED BRONZE BLADES FOR F516/F518</t>
  </si>
  <si>
    <t>FB216-ORB.JPG</t>
  </si>
  <si>
    <t>FB217-DM</t>
  </si>
  <si>
    <t>DARK MAPLE BLADES FOR F517/F519</t>
  </si>
  <si>
    <t>FB217-DM.JPG</t>
  </si>
  <si>
    <t>FB217</t>
  </si>
  <si>
    <t>FB217-DW</t>
  </si>
  <si>
    <t>DARK WALNUT BLADES FOR F517/F519</t>
  </si>
  <si>
    <t>FB217-DW.JPG</t>
  </si>
  <si>
    <t>FB217-ORB</t>
  </si>
  <si>
    <t>OIL RUBBED BRONZE BLADES FOR F517/F519</t>
  </si>
  <si>
    <t>FB217-ORB.JPG</t>
  </si>
  <si>
    <t>FB422-DC</t>
  </si>
  <si>
    <t>DARK CHERRY BLADES FOR F562</t>
  </si>
  <si>
    <t>FB422-DC.JPG</t>
  </si>
  <si>
    <t>FB422-DM</t>
  </si>
  <si>
    <t>DARK MAPLE BLADES FOR F562</t>
  </si>
  <si>
    <t>FB422-DM.JPG</t>
  </si>
  <si>
    <t>FB422-LC</t>
  </si>
  <si>
    <t>LIGHT CHERRY BLADES FOR F562</t>
  </si>
  <si>
    <t>FB422-LC.JPG</t>
  </si>
  <si>
    <t>FB422-LM</t>
  </si>
  <si>
    <t>LIGHT MAPLE BLADES FOR F562</t>
  </si>
  <si>
    <t>FB422-LM.JPG</t>
  </si>
  <si>
    <t>FB422-NW</t>
  </si>
  <si>
    <t>NATURAL WALNUT BLADES FOR F562</t>
  </si>
  <si>
    <t>FB422-NW.JPG</t>
  </si>
  <si>
    <t>FB422-WO</t>
  </si>
  <si>
    <t>WASHED OAK BLADES FOR F562</t>
  </si>
  <si>
    <t>FB422-WO.JPG</t>
  </si>
  <si>
    <t>FB422-WP</t>
  </si>
  <si>
    <t>WEATHERED PINE BLADES FOR F562</t>
  </si>
  <si>
    <t>FB422-WP.JPG</t>
  </si>
  <si>
    <t>FB423-DC</t>
  </si>
  <si>
    <t>DARK CHERRY BLADES FOR F563</t>
  </si>
  <si>
    <t>FB423-DC.JPG</t>
  </si>
  <si>
    <t>FB423-DM</t>
  </si>
  <si>
    <t>DARK MAPLE BLADES FOR F563</t>
  </si>
  <si>
    <t>FB423-DM.JPG</t>
  </si>
  <si>
    <t>FB423-LC</t>
  </si>
  <si>
    <t>LIGHT CHERRY BLADES FOR F563</t>
  </si>
  <si>
    <t>FB423-LC.JPG</t>
  </si>
  <si>
    <t>FB423-LM</t>
  </si>
  <si>
    <t>LIGHT MAPLE BLADES FOR F563</t>
  </si>
  <si>
    <t>FB423-LM.JPG</t>
  </si>
  <si>
    <t>FB423-NW</t>
  </si>
  <si>
    <t>NATURAL WALNUT BLADES FOR F563</t>
  </si>
  <si>
    <t>FB423-NW.JPG</t>
  </si>
  <si>
    <t>FB423-WO</t>
  </si>
  <si>
    <t>WASHED OAK BLADES FOR F563</t>
  </si>
  <si>
    <t>FB423-WO.JPG</t>
  </si>
  <si>
    <t>FB423-WP</t>
  </si>
  <si>
    <t>WEATHERED PINE BLADES FOR F563</t>
  </si>
  <si>
    <t>FB423-WP.JPG</t>
  </si>
  <si>
    <t>FB424-DC</t>
  </si>
  <si>
    <t>DARK CHERRY BLADES FOR F568/F569</t>
  </si>
  <si>
    <t>FB424-DC.JPG</t>
  </si>
  <si>
    <t>FB424-DM</t>
  </si>
  <si>
    <t>DARK MAPLE BLADES FOR F568/F569</t>
  </si>
  <si>
    <t>FB424-DM.JPG</t>
  </si>
  <si>
    <t>FB424</t>
  </si>
  <si>
    <t>FB424-LC</t>
  </si>
  <si>
    <t>LIGHT CHERRY BLADES FOR F568/F569</t>
  </si>
  <si>
    <t>FB424-LC.JPG</t>
  </si>
  <si>
    <t>FB424-LM</t>
  </si>
  <si>
    <t>LIGHT MAPLE BLADES FOR F568/F569</t>
  </si>
  <si>
    <t>FB424-LM.JPG</t>
  </si>
  <si>
    <t>FB424-NW</t>
  </si>
  <si>
    <t>NATURAL WALNUT BLADES FOR F568/F569</t>
  </si>
  <si>
    <t>FB424-NW.JPG</t>
  </si>
  <si>
    <t>FB424-WH</t>
  </si>
  <si>
    <t>WHITE BLADES FOR F568/F569</t>
  </si>
  <si>
    <t>FB424-WH.JPG</t>
  </si>
  <si>
    <t>FB424-WO</t>
  </si>
  <si>
    <t>WASHED OAK BLADES FOR F568/F569</t>
  </si>
  <si>
    <t>FB424-WO.JPG</t>
  </si>
  <si>
    <t>FB424-WP</t>
  </si>
  <si>
    <t>WEATHERED PINE BLADES FOR F568/F569</t>
  </si>
  <si>
    <t>FB424-WP.JPG</t>
  </si>
  <si>
    <t>FB887-72-ORB</t>
  </si>
  <si>
    <t>OIL RUBBED BRONZE BLADES FOR THE F887-72</t>
  </si>
  <si>
    <t>FB887-72-ORB.JPG</t>
  </si>
  <si>
    <t>FB887-72-SL</t>
  </si>
  <si>
    <t>SILVER BLADES FOR THE F887-72</t>
  </si>
  <si>
    <t>FB887-72-SL.JPG</t>
  </si>
  <si>
    <t>FB887-96-ORB</t>
  </si>
  <si>
    <t>OIL RUBBED BRONZE BLADES FOR THE F887-96</t>
  </si>
  <si>
    <t>FB887-96-ORB.JPG</t>
  </si>
  <si>
    <t>FB887-96-SL</t>
  </si>
  <si>
    <t>SILVER BLADES FOR THE F887-96</t>
  </si>
  <si>
    <t>FB887-96-SL.JPG</t>
  </si>
  <si>
    <t>FS683L-GRN</t>
  </si>
  <si>
    <t>LIGHT KIT HOUSING</t>
  </si>
  <si>
    <t>MINKA AIRE® SHADE - CUSTOM STEEL GREEN SHADE</t>
  </si>
  <si>
    <t>GREEN</t>
  </si>
  <si>
    <t>FS683L-GRN.JPG</t>
  </si>
  <si>
    <t>FS683L</t>
  </si>
  <si>
    <t>FS683L-RD</t>
  </si>
  <si>
    <t>MINKA AIRE® SHADE - CUSTOM STEEL RED SHADE</t>
  </si>
  <si>
    <t>FS683L-RD.JPG</t>
  </si>
  <si>
    <t>FS683L-TRN</t>
  </si>
  <si>
    <t>MINKA AIRE® SHADE - CUSTOM STEEL TARNISHED COPPER SHADE</t>
  </si>
  <si>
    <t>TARNISHED COPPER</t>
  </si>
  <si>
    <t>FS683L-TRN.JPG</t>
  </si>
  <si>
    <t>FS683L-WH</t>
  </si>
  <si>
    <t>MINKA AIRE® SHADE - CUSTOM STEEL WHITE SHADE</t>
  </si>
  <si>
    <t>FS683L-WH.JPG</t>
  </si>
  <si>
    <t>GC900 SET</t>
  </si>
  <si>
    <t>CRYSTAL SET</t>
  </si>
  <si>
    <t>CHRISTAFANO</t>
  </si>
  <si>
    <t>GC900 SET.JPG</t>
  </si>
  <si>
    <t>K1-L-44</t>
  </si>
  <si>
    <t>4 BULB LIGHT KIT</t>
  </si>
  <si>
    <t>UNIVERSAL 11 3/4" LIGHT KIT IN WHITE</t>
  </si>
  <si>
    <t>K1-L-44.JPG</t>
  </si>
  <si>
    <t>K1</t>
  </si>
  <si>
    <t>K1-L-BS</t>
  </si>
  <si>
    <t>UNIVERSAL 11 3/4" LIGHT KIT IN BRUSHED STEEL</t>
  </si>
  <si>
    <t>B10.5, CANDN</t>
  </si>
  <si>
    <t>K1-L-BS.JPG</t>
  </si>
  <si>
    <t>steel</t>
  </si>
  <si>
    <t>K1-L-ORB</t>
  </si>
  <si>
    <t>UNIVERSAL 11 3/4" LIGHT KIT IN OIL RUBBED BRONZE</t>
  </si>
  <si>
    <t>K1-L-ORB.JPG</t>
  </si>
  <si>
    <t>K1099-1-L-44</t>
  </si>
  <si>
    <t>LIGHT KIT</t>
  </si>
  <si>
    <t>UNIVERSAL 8 1/2" LIGHT KIT IN WHITE</t>
  </si>
  <si>
    <t>G16.5, CAND</t>
  </si>
  <si>
    <t>K1099-1-L-44.JPG</t>
  </si>
  <si>
    <t>K1099-1-L</t>
  </si>
  <si>
    <t>STEEL+GLASS</t>
  </si>
  <si>
    <t>K33-L-44</t>
  </si>
  <si>
    <t>3 BULB LIGHT KIT</t>
  </si>
  <si>
    <t>UNIVERSAL 6 1/4" LIGHT KIT IN WHITE</t>
  </si>
  <si>
    <t>K33-L-44.JPG</t>
  </si>
  <si>
    <t>K33</t>
  </si>
  <si>
    <t>K33-L-BS</t>
  </si>
  <si>
    <t>UNIVERSAL 6 1/4" LIGHT KIT IN BRUSHED STEEL</t>
  </si>
  <si>
    <t>K33-L-BS.JPG</t>
  </si>
  <si>
    <t>K33-L-MCG</t>
  </si>
  <si>
    <t>UNIVERSAL 6 1/4" LIGHT KIT IN MOTTLED COPPER WITH GOLD HIGHLIGHT</t>
  </si>
  <si>
    <t>E12, CAND</t>
  </si>
  <si>
    <t>K33-L-MCG.JPG</t>
  </si>
  <si>
    <t>K33-L-ORB</t>
  </si>
  <si>
    <t>UNIVERSAL 6 1/4" LIGHT KIT IN OIL RUBBED BRONZE</t>
  </si>
  <si>
    <t>E12, CANDN</t>
  </si>
  <si>
    <t>K33-L-ORB.JPG</t>
  </si>
  <si>
    <t>K34-44</t>
  </si>
  <si>
    <t>CFL SPIRAL 13W (E26)</t>
  </si>
  <si>
    <t>K34-44.JPG</t>
  </si>
  <si>
    <t>K34</t>
  </si>
  <si>
    <t>K34-BCW</t>
  </si>
  <si>
    <t>K34-BCW.JPG</t>
  </si>
  <si>
    <t>K34-BN</t>
  </si>
  <si>
    <t>UNIVERSAL 11 3/4" LIGHT KIT IN BRUSHED NICKEL</t>
  </si>
  <si>
    <t>K34-BN.JPG</t>
  </si>
  <si>
    <t>K34-BS</t>
  </si>
  <si>
    <t>K34-BS.JPG</t>
  </si>
  <si>
    <t>K34-DBB</t>
  </si>
  <si>
    <t>UNIVERSAL 11 3/4" LIGHT KIT IN DARK BRUSHED BRONZE</t>
  </si>
  <si>
    <t>CFL SPIRAL</t>
  </si>
  <si>
    <t>K34-DBB.JPG</t>
  </si>
  <si>
    <t>K34-KA</t>
  </si>
  <si>
    <t>UNIVERSAL 11 3/4" LIGHT KIT IN KOCOA</t>
  </si>
  <si>
    <t>K34-KA.JPG</t>
  </si>
  <si>
    <t>K34-ORB</t>
  </si>
  <si>
    <t>K34-ORB.JPG</t>
  </si>
  <si>
    <t>K34-PI</t>
  </si>
  <si>
    <t>UNIVERSAL 11 3/4" LIGHT KIT IN PATINA IRON</t>
  </si>
  <si>
    <t>K34-PI.JPG</t>
  </si>
  <si>
    <t>K34-PW</t>
  </si>
  <si>
    <t>UNIVERSAL 11 3/4" LIGHT KIT IN PEWTER</t>
  </si>
  <si>
    <t>K34-PW.JPG</t>
  </si>
  <si>
    <t>K34-SWH</t>
  </si>
  <si>
    <t>UNIVERSAL 11 3/4" LIGHT KIT IN SHELL WHITE</t>
  </si>
  <si>
    <t>K34-SWH.JPG</t>
  </si>
  <si>
    <t>K35-44</t>
  </si>
  <si>
    <t>UNIVERSAL 7 1/4" LIGHT KIT IN WHITE</t>
  </si>
  <si>
    <t>K35-44.JPG</t>
  </si>
  <si>
    <t>K35-FB</t>
  </si>
  <si>
    <t>UNIVERSAL 7 1/4" LIGHT KIT IN FRENCH BEIGE</t>
  </si>
  <si>
    <t>K35-FB.JPG</t>
  </si>
  <si>
    <t>K35</t>
  </si>
  <si>
    <t>K35-KA</t>
  </si>
  <si>
    <t>UNIVERSAL 7 1/4" LIGHT KIT IN KOCOA</t>
  </si>
  <si>
    <t>K35-KA.JPG</t>
  </si>
  <si>
    <t>K35-MCG</t>
  </si>
  <si>
    <t>UNIVERSAL 7 1/4" LIGHT KIT IN MOTTLED COPPER WITH GOLD HIGHLIGHT</t>
  </si>
  <si>
    <t>K35-MCG.JPG</t>
  </si>
  <si>
    <t>K35-ORB</t>
  </si>
  <si>
    <t>UNIVERSAL 7 1/4" LIGHT KIT IN OIL RUBBED BRONZE</t>
  </si>
  <si>
    <t>K35-ORB.JPG</t>
  </si>
  <si>
    <t>K35-PW</t>
  </si>
  <si>
    <t>UNIVERSAL 7 1/4" LIGHT KIT IN PEWTER</t>
  </si>
  <si>
    <t>K35-PW.JPG</t>
  </si>
  <si>
    <t>K35-SWH</t>
  </si>
  <si>
    <t>UNIVERSAL 7 1/4" LIGHT KIT IN SHELL WHITE</t>
  </si>
  <si>
    <t>K35-SWH.JPG</t>
  </si>
  <si>
    <t>K9110L</t>
  </si>
  <si>
    <t>UNIVERSAL LED LIGHT KIT</t>
  </si>
  <si>
    <t>UNIVERSAL 12 1/4" LED ETCHED WHITE GLASS LIGHT KIT</t>
  </si>
  <si>
    <t>K9110L.JPG</t>
  </si>
  <si>
    <t>K9115L</t>
  </si>
  <si>
    <t>K9115L.JPG</t>
  </si>
  <si>
    <t>STEEL+GLASS+WOOD FOB</t>
  </si>
  <si>
    <t>K9120L</t>
  </si>
  <si>
    <t>K9120L.JPG</t>
  </si>
  <si>
    <t>K9363-L</t>
  </si>
  <si>
    <t>UNIVERSAL 13" ETCHED MARBLE GLASS LIGHT KIT</t>
  </si>
  <si>
    <t>K9363-L.JPG</t>
  </si>
  <si>
    <t>K9365-L-44</t>
  </si>
  <si>
    <t>UNIVERSAL 12 1/2" LIGHT KIT IN WHITE</t>
  </si>
  <si>
    <t>ETCHED MARBLE</t>
  </si>
  <si>
    <t>K9365-L-44.JPG</t>
  </si>
  <si>
    <t>K9365-L</t>
  </si>
  <si>
    <t>K9369-L</t>
  </si>
  <si>
    <t>UNIVERSAL 13" ETCHED SWIRL GLASS LIGHT KIT</t>
  </si>
  <si>
    <t>K9369-L.JPG</t>
  </si>
  <si>
    <t>K9369</t>
  </si>
  <si>
    <t>K9372-1</t>
  </si>
  <si>
    <t>UNIVERSAL 13 1/4" CASPIAN GLASS LIGHT KIT</t>
  </si>
  <si>
    <t>K9372-1.JPG</t>
  </si>
  <si>
    <t>K9372-2</t>
  </si>
  <si>
    <t>UNIVERSAL 13 1/4" EXCAVATION GLASS LIGHT KIT</t>
  </si>
  <si>
    <t>K9372-2.JPG</t>
  </si>
  <si>
    <t>K9372-3</t>
  </si>
  <si>
    <t>UNIVERSAL 13 1/4" PARCHMENT GLASS LIGHT KIT</t>
  </si>
  <si>
    <t>PARCHMENT</t>
  </si>
  <si>
    <t>K9372-3.JPG</t>
  </si>
  <si>
    <t>K9372-4</t>
  </si>
  <si>
    <t>UNIVERSAL 13 1/4" VENETIAN SCAVO GLASS LIGHT KIT</t>
  </si>
  <si>
    <t>K9372-4.JPG</t>
  </si>
  <si>
    <t>K9372-5</t>
  </si>
  <si>
    <t>1 BULB LIGHT KIT</t>
  </si>
  <si>
    <t>ALABASTER DUST</t>
  </si>
  <si>
    <t>K9372-5.JPG</t>
  </si>
  <si>
    <t>K9373-L-BS</t>
  </si>
  <si>
    <t>UNIVERSAL 9 1/2" LIGHT KIT IN BRUSHED STEEL</t>
  </si>
  <si>
    <t>XENON MINI CAND(T4,E11)</t>
  </si>
  <si>
    <t>K9373-L-BS.JPG</t>
  </si>
  <si>
    <t>K9373-L</t>
  </si>
  <si>
    <t>K9373-L-ORB</t>
  </si>
  <si>
    <t>UNIVERSAL 9 1/2" LIGHT KIT IN OIL RUBBED BRONZE</t>
  </si>
  <si>
    <t>XENON MINI CAND,(T4,E11)</t>
  </si>
  <si>
    <t>K9373-L-ORB.JPG</t>
  </si>
  <si>
    <t>STEEL + GLASS</t>
  </si>
  <si>
    <t>K9373-L-WH</t>
  </si>
  <si>
    <t>UNIVERSAL 9 1/2" LIGHT KIT IN WHITE</t>
  </si>
  <si>
    <t>K9373-L-WH.JPG</t>
  </si>
  <si>
    <t>K9374-L-BS</t>
  </si>
  <si>
    <t>UNIVERSAL 10 1/2" LIGHT KIT IN BRUSHED STEEL</t>
  </si>
  <si>
    <t>XENON MINI CAND. (T4,E11)</t>
  </si>
  <si>
    <t>K9374-L-BS.JPG</t>
  </si>
  <si>
    <t>K9374-L</t>
  </si>
  <si>
    <t>K9374-L-WH</t>
  </si>
  <si>
    <t>UNIVERSAL 10 1/2" LIGHT KIT IN WHITE</t>
  </si>
  <si>
    <t>XENON MINI CAND (T4,E11)</t>
  </si>
  <si>
    <t>K9374-L-WH.JPG</t>
  </si>
  <si>
    <t>K9375-L-BS</t>
  </si>
  <si>
    <t>UNIVERSAL 11 1/2" LIGHT KIT IN BRUSHED STEEL</t>
  </si>
  <si>
    <t>K9375-L-BS.JPG</t>
  </si>
  <si>
    <t>K9375-L</t>
  </si>
  <si>
    <t>K9375-L-BWH</t>
  </si>
  <si>
    <t>UNIVERSAL 11 1/2" LIGHT KIT IN BONE WHITE</t>
  </si>
  <si>
    <t>T4, MINI CANDELABRA</t>
  </si>
  <si>
    <t>K9375-L-BWH.JPG</t>
  </si>
  <si>
    <t>K9375-L-ORB</t>
  </si>
  <si>
    <t>UNIVERSAL 11 1/2" LIGHT KIT IN OIL RUBBED BRONZE</t>
  </si>
  <si>
    <t>T4 XENON MINI CANDELABRA</t>
  </si>
  <si>
    <t>K9375-L-ORB.JPG</t>
  </si>
  <si>
    <t>K9375-L-WH</t>
  </si>
  <si>
    <t>UNIVERSAL 11 1/2" LIGHT KIT IN WHITE</t>
  </si>
  <si>
    <t>K9375-L-WH.JPG</t>
  </si>
  <si>
    <t>K9376-2</t>
  </si>
  <si>
    <t>UNIVERSAL 16" EXCAVATION GLASS LIGHT KIT</t>
  </si>
  <si>
    <t>K9376-2.JPG</t>
  </si>
  <si>
    <t>K9380-1</t>
  </si>
  <si>
    <t>2 BULB LIGHT KIT</t>
  </si>
  <si>
    <t>UNIVERSAL 11 1/2" FRENCH SCAVO GLASS LIGHT KIT</t>
  </si>
  <si>
    <t>SEMISPIRAL 13W,SELF BALLAST GU24</t>
  </si>
  <si>
    <t>FRENCH SCAVO</t>
  </si>
  <si>
    <t>K9380-1.JPG</t>
  </si>
  <si>
    <t>STEEL+WHITE</t>
  </si>
  <si>
    <t>K9380-2</t>
  </si>
  <si>
    <t>UNIVERSAL 11 1/2" EXCAVATION GLASS LIGHT KIT</t>
  </si>
  <si>
    <t>K9380-2.JPG</t>
  </si>
  <si>
    <t>K9401-L-BWH</t>
  </si>
  <si>
    <t>UNIVERSAL 10 1/2" LIGHT KIT IN BONE WHITE</t>
  </si>
  <si>
    <t>SEMI-SPIRAL,13W,SELF-BALLAST,GU24</t>
  </si>
  <si>
    <t>OPAL</t>
  </si>
  <si>
    <t>K9401-L-BWH.JPG</t>
  </si>
  <si>
    <t>K9401-L</t>
  </si>
  <si>
    <t>K9401-L-DRF</t>
  </si>
  <si>
    <t>UNIVERSAL 10 1/2" LIGHT KIT IN DRIFTWOOD</t>
  </si>
  <si>
    <t>SEMI-SPIRAL, 13W, SELF-BALLAST, GU24</t>
  </si>
  <si>
    <t>K9401-L-DRF.JPG</t>
  </si>
  <si>
    <t>K9401-L-MW</t>
  </si>
  <si>
    <t>SEMI SPIRAL, 13W, SELF-BALLAST, GU24</t>
  </si>
  <si>
    <t>K9401-L-MW.JPG</t>
  </si>
  <si>
    <t>K9401-L-ORB</t>
  </si>
  <si>
    <t>UNIVERSAL 10 1/2" LIGHT KIT IN OIL RUBBED BRONZE</t>
  </si>
  <si>
    <t>K9401-L-ORB.JPG</t>
  </si>
  <si>
    <t>K9401-L-VRT</t>
  </si>
  <si>
    <t>K9401-L-VRT.JPG</t>
  </si>
  <si>
    <t>K9401-L-WH</t>
  </si>
  <si>
    <t>K9401-L-WH.JPG</t>
  </si>
  <si>
    <t>K9402-L-44</t>
  </si>
  <si>
    <t>UNIVERSAL 7 3/4" LIGHT KIT IN WHITE</t>
  </si>
  <si>
    <t>K9402-L-44.JPG</t>
  </si>
  <si>
    <t>K9402-L</t>
  </si>
  <si>
    <t>STEEL,GLASS,PLASTIC</t>
  </si>
  <si>
    <t>K9402-L-ORB</t>
  </si>
  <si>
    <t>UNIVERSAL 7 3/4" LIGHT KIT IN OIL RUBBED BRONZE</t>
  </si>
  <si>
    <t>K9402-L-ORB.JPG</t>
  </si>
  <si>
    <t>K9500</t>
  </si>
  <si>
    <t>UNIVERSAL LIGHT KIT</t>
  </si>
  <si>
    <t>K9500.JPG</t>
  </si>
  <si>
    <t>STEEL+CRYSTAL</t>
  </si>
  <si>
    <t>K9515-1</t>
  </si>
  <si>
    <t>UNIVERSAL 12 1/4" FROSTED WHITE GLASS LIGHT KIT</t>
  </si>
  <si>
    <t>K9515-1.JPG</t>
  </si>
  <si>
    <t>K9515</t>
  </si>
  <si>
    <t>K9515-2</t>
  </si>
  <si>
    <t>UNIVERSAL 12 1/4" TEA STAIN GLASS LIGHT KIT</t>
  </si>
  <si>
    <t>K9515-2.JPG</t>
  </si>
  <si>
    <t>K9525-1</t>
  </si>
  <si>
    <t xml:space="preserve"> FROSTED WHITE</t>
  </si>
  <si>
    <t>K9525-1.JPG</t>
  </si>
  <si>
    <t>K9525</t>
  </si>
  <si>
    <t>K9525-2</t>
  </si>
  <si>
    <t>K9525-2.JPG</t>
  </si>
  <si>
    <t>K9548</t>
  </si>
  <si>
    <t>UNIVERSAL 12" ETCHED SWIRL GLASS LIGHT KIT</t>
  </si>
  <si>
    <t>K9548.JPG</t>
  </si>
  <si>
    <t>K9614-DBB</t>
  </si>
  <si>
    <t>TIMELESS - CUSTOM LIGHT KIT IN DARK BRUSHED BRONZE</t>
  </si>
  <si>
    <t>K9614-DBB.JPG</t>
  </si>
  <si>
    <t>K9614</t>
  </si>
  <si>
    <t>K9614-FB</t>
  </si>
  <si>
    <t>TIMELESS - CUSTOM LIGHT KIT IN FRENCH BEIGE</t>
  </si>
  <si>
    <t>K9614-FB.JPG</t>
  </si>
  <si>
    <t>K9614-MCG</t>
  </si>
  <si>
    <t>TIMELESS - CUSTOM LIGHT KIT IN MOTTLED COPPER WITH GOLD HIGHLIGHT</t>
  </si>
  <si>
    <t>K9614-MCG.JPG</t>
  </si>
  <si>
    <t>K9614-PW</t>
  </si>
  <si>
    <t>TIMELESS - CUSTOM LIGHT KIT IN PEWTER</t>
  </si>
  <si>
    <t>K9614-PW.JPG</t>
  </si>
  <si>
    <t>K9659-BCW</t>
  </si>
  <si>
    <t>K9659-BCW.JPG</t>
  </si>
  <si>
    <t>K9659</t>
  </si>
  <si>
    <t>K9659-DRF</t>
  </si>
  <si>
    <t>CLASSICA - CUSTOM LIGHT KIT IN DRIFTWOOD</t>
  </si>
  <si>
    <t>K9659-DRF.JPG</t>
  </si>
  <si>
    <t>K9659BCW</t>
  </si>
  <si>
    <t>K9659-FB</t>
  </si>
  <si>
    <t>CLASSICA - CUSTOM LIGHT KIT IN FLORENTINE BRASS</t>
  </si>
  <si>
    <t>K9659-FB.JPG</t>
  </si>
  <si>
    <t>K9659-MCG</t>
  </si>
  <si>
    <t>CLASSICA - CUSTOM LIGHT KIT IN MOTTLED COPPER WITH GOLD HIGHLIGHT</t>
  </si>
  <si>
    <t>K9659-MCG.JPG</t>
  </si>
  <si>
    <t>K9659-PBL</t>
  </si>
  <si>
    <t>CLASSICA - CUSTOM LIGHT KIT IN PROVENCAL BLANC</t>
  </si>
  <si>
    <t>K9659-PBL.JPG</t>
  </si>
  <si>
    <t>K9659-PI</t>
  </si>
  <si>
    <t>CLASSICA - CUSTOM LIGHT KIT IN PATINA IRON</t>
  </si>
  <si>
    <t>K9659-PI.JPG</t>
  </si>
  <si>
    <t>K9727L-BN</t>
  </si>
  <si>
    <t>LED LIGHT KIT FOR F727</t>
  </si>
  <si>
    <t>RUDOLPH - CUSTOM 12" LED LIGHT KIT</t>
  </si>
  <si>
    <t>K9727L-BN.JPG</t>
  </si>
  <si>
    <t>K9727L</t>
  </si>
  <si>
    <t>K9727L-CL</t>
  </si>
  <si>
    <t>CEILING FAN LIGHT KIT FOR F727</t>
  </si>
  <si>
    <t>K9727L-CL.JPG</t>
  </si>
  <si>
    <t>K9727L-DK</t>
  </si>
  <si>
    <t>K9727L-DK.JPG</t>
  </si>
  <si>
    <t>K9727L-ORB</t>
  </si>
  <si>
    <t>K9727L-ORB.JPG</t>
  </si>
  <si>
    <t>K9727L-WHF</t>
  </si>
  <si>
    <t>LED LIGHT KIT FOR F727-WHF</t>
  </si>
  <si>
    <t>K9727L-WHF.JPG</t>
  </si>
  <si>
    <t>STEEL AND GLASS</t>
  </si>
  <si>
    <t>K9787L-BNW</t>
  </si>
  <si>
    <t>LED LIGHT KIT ONLY FOR F787</t>
  </si>
  <si>
    <t>SIMPLE - CUSTOM LED LIGHT KIT IN BRUSHED NICKEL WET</t>
  </si>
  <si>
    <t>K9787L-BNW.JPG</t>
  </si>
  <si>
    <t>K9787L</t>
  </si>
  <si>
    <t>METAL+PC LENS</t>
  </si>
  <si>
    <t>K9787L-CL</t>
  </si>
  <si>
    <t>SIMPLE - CUSTOM LED LIGHT KIT IN COAL</t>
  </si>
  <si>
    <t>K9787L-CL.JPG</t>
  </si>
  <si>
    <t>K9787L-ORB</t>
  </si>
  <si>
    <t>SIMPLE - CUSTOM LED LIGHT KIT IN OIL RUBBED BRONZE</t>
  </si>
  <si>
    <t>K9787L-ORB.JPG</t>
  </si>
  <si>
    <t>LIGHTKIT</t>
  </si>
  <si>
    <t>K9787L-SL</t>
  </si>
  <si>
    <t>LED LIGHT KIT ONLY FOR 787</t>
  </si>
  <si>
    <t>SIMPLE - CUSTOM LED LIGHT KIT IN SILVER</t>
  </si>
  <si>
    <t>K9787L-SL.JPG</t>
  </si>
  <si>
    <t>K9787L-WHF</t>
  </si>
  <si>
    <t>SIMPLE - CUSTOM LED LIGHT KIT IN FLAT WHITE</t>
  </si>
  <si>
    <t>K9787L-WHF.JPG</t>
  </si>
  <si>
    <t>K9838L-DK</t>
  </si>
  <si>
    <t>FOR F838L LED LIGHT KIT ONLY</t>
  </si>
  <si>
    <t>FORCE - CUSTOM LED LIGHT KIT IN DISTRESSED KOA</t>
  </si>
  <si>
    <t>K9838L-DK.JPG</t>
  </si>
  <si>
    <t>K9838L-SL</t>
  </si>
  <si>
    <t>FORCE - CUSTOM LED LIGHT KIT IN SILVER</t>
  </si>
  <si>
    <t>K9838L-SL.JPG</t>
  </si>
  <si>
    <t>K9838L-WH</t>
  </si>
  <si>
    <t>FORCE - CUSTOM LED LIGHT KIT IN WHITE</t>
  </si>
  <si>
    <t>K9838L-WH.JPG</t>
  </si>
  <si>
    <t>K9886L-BNW</t>
  </si>
  <si>
    <t>LED LIGHT KIT FOR F886</t>
  </si>
  <si>
    <t>XTREME H20 - CUSTOM LED LIGHT KIT IN BRUSHED NICKEL WET</t>
  </si>
  <si>
    <t>XTREME H2O</t>
  </si>
  <si>
    <t>K9886L-BNW.JPG</t>
  </si>
  <si>
    <t>K9886L</t>
  </si>
  <si>
    <t>K9886L-CL</t>
  </si>
  <si>
    <t>LED LIGHT KIT FOR F886L</t>
  </si>
  <si>
    <t>XTREME H20 - CUSTOM LED LIGHT KIT IN COAL</t>
  </si>
  <si>
    <t>K9886L-CL.JPG</t>
  </si>
  <si>
    <t>K9886L-ORB</t>
  </si>
  <si>
    <t>XTREME H20 - CUSTOM LED LIGHT KIT IN OIL RUBBED BRONZE</t>
  </si>
  <si>
    <t>K9886L-ORB.JPG</t>
  </si>
  <si>
    <t>METAL+PC</t>
  </si>
  <si>
    <t>K9886L-SI</t>
  </si>
  <si>
    <t>XTREME H20 - CUSTOM LED LIGHT KIT IN SILVER</t>
  </si>
  <si>
    <t>K9886L-SI.JPG</t>
  </si>
  <si>
    <t>K9886L-WHF</t>
  </si>
  <si>
    <t>XTREME H20 - CUSTOM LED LIGHT KIT IN WHITE</t>
  </si>
  <si>
    <t>K9886L-WHF.JPG</t>
  </si>
  <si>
    <t>L001021300S</t>
  </si>
  <si>
    <t>REPLACEMENT RECEIVER DOWNLIGHT LED ONLY 6+ uF</t>
  </si>
  <si>
    <t>RECEIVER FOR F803L F834L</t>
  </si>
  <si>
    <t>L001021300S.JPG</t>
  </si>
  <si>
    <t>L001021500S</t>
  </si>
  <si>
    <t>RECEIVER FOR F1000/F844/F556L</t>
  </si>
  <si>
    <t>RECEIVER FOR F844 F1000 F556L F656L</t>
  </si>
  <si>
    <t>L001021500S.JPG</t>
  </si>
  <si>
    <t>L0010</t>
  </si>
  <si>
    <t>L001022500S</t>
  </si>
  <si>
    <t>GYRO FAN-LED REPLACEMENT RECEIVER</t>
  </si>
  <si>
    <t>RECEIVER FOR F304L AND F306L</t>
  </si>
  <si>
    <t>L001022500S.JPG</t>
  </si>
  <si>
    <t>LOO10</t>
  </si>
  <si>
    <t>L001038000S</t>
  </si>
  <si>
    <t>REPLACEMENT RECEIVER LED</t>
  </si>
  <si>
    <t>OUTDOOR CEILING FAN RECEIVER FOR F753L</t>
  </si>
  <si>
    <t>L001038000S.JPG</t>
  </si>
  <si>
    <t>L001041000S</t>
  </si>
  <si>
    <t>CANOPY RECEIVER</t>
  </si>
  <si>
    <t>RECEIVER FOR F534L</t>
  </si>
  <si>
    <t>L001041000S.JPG</t>
  </si>
  <si>
    <t>L001042000S</t>
  </si>
  <si>
    <t>RECEIVER FOR F477L</t>
  </si>
  <si>
    <t>L001042000S.JPG</t>
  </si>
  <si>
    <t>L0010460001</t>
  </si>
  <si>
    <t>CANOPY RECEIVER FOR F623L</t>
  </si>
  <si>
    <t>L0010460001.JPG</t>
  </si>
  <si>
    <t>P001021300S</t>
  </si>
  <si>
    <t>REPLACEMENT RECEIVER DOWNLIGHT / 6+8uF</t>
  </si>
  <si>
    <t>RECEIVER FOR F500/F506/F713-1/F803/F819/F826/F539/F705/F715</t>
  </si>
  <si>
    <t>P001021300S.JPG</t>
  </si>
  <si>
    <t>P001021500S</t>
  </si>
  <si>
    <t>REPLACEMENT RECEIVER DOWNLIGHT 6+5UF</t>
  </si>
  <si>
    <t>DARK GREEN</t>
  </si>
  <si>
    <t>P001021500S.JPG</t>
  </si>
  <si>
    <t>P001021700</t>
  </si>
  <si>
    <t>CANOPY RECEIVER FOR 34896,24030,34201,F528/F529</t>
  </si>
  <si>
    <t>RECEIVER FOR F528/F529</t>
  </si>
  <si>
    <t>P001021700.JPG</t>
  </si>
  <si>
    <t>P001021700S</t>
  </si>
  <si>
    <t>4+6UF DOWNLIGHT FOR F529</t>
  </si>
  <si>
    <t>RECEIVER FOR F528/F529/F620/F723</t>
  </si>
  <si>
    <t>P001021700S.JPG</t>
  </si>
  <si>
    <t>P001022000S</t>
  </si>
  <si>
    <t>P001022000S.JPG</t>
  </si>
  <si>
    <t>P001022100S</t>
  </si>
  <si>
    <t>UP &amp; DOWN LIGHT 4+6UF</t>
  </si>
  <si>
    <t>P001022100S.JPG</t>
  </si>
  <si>
    <t>P001022400S</t>
  </si>
  <si>
    <t>UP &amp; DOWN LIGHT 6+6UF</t>
  </si>
  <si>
    <t>RECEIVER FOR F724/F814/F661/F611/F812/F598</t>
  </si>
  <si>
    <t>P001022400S.JPG</t>
  </si>
  <si>
    <t>P001022500</t>
  </si>
  <si>
    <t>P001022500.JPG</t>
  </si>
  <si>
    <t>P001022500S</t>
  </si>
  <si>
    <t>REPLACEMENT RECEIVER GYRO FAN USED ONLY (4+13UF)</t>
  </si>
  <si>
    <t>RECEIVER FOR F602</t>
  </si>
  <si>
    <t>P001022500S.JPG</t>
  </si>
  <si>
    <t>P001022700S</t>
  </si>
  <si>
    <t>2+5UF DOWN LIGHT</t>
  </si>
  <si>
    <t>RECEIVER FOR F596</t>
  </si>
  <si>
    <t>P001022700S.JPG</t>
  </si>
  <si>
    <t>P001023000</t>
  </si>
  <si>
    <t>CANOPY RECEIVER FOR F402</t>
  </si>
  <si>
    <t>RECEIVER FOR F402</t>
  </si>
  <si>
    <t>P001023000.JPG</t>
  </si>
  <si>
    <t>P001023000S</t>
  </si>
  <si>
    <t>4+13UF OUTDOOR GYRO FAN USED ONLY</t>
  </si>
  <si>
    <t>P001023000S.JPG</t>
  </si>
  <si>
    <t>P001023100</t>
  </si>
  <si>
    <t>REPLACEMENT RECEIVER FOR F719 + 04898</t>
  </si>
  <si>
    <t>RECEIVER FOR F719</t>
  </si>
  <si>
    <t>P001023100.JPG</t>
  </si>
  <si>
    <t>P001023200</t>
  </si>
  <si>
    <t>P001023200.JPG</t>
  </si>
  <si>
    <t>P001023700S</t>
  </si>
  <si>
    <t>6+8UF UP &amp; DL LIGHT</t>
  </si>
  <si>
    <t>P001023700S.JPG</t>
  </si>
  <si>
    <t>P001025000S</t>
  </si>
  <si>
    <t>OUTDOOR - DOWN LIGHT 6+6UF</t>
  </si>
  <si>
    <t>RECEIVER FOR F579/F578/F581/F840/F523</t>
  </si>
  <si>
    <t>P001025000S.JPG</t>
  </si>
  <si>
    <t>P001026000</t>
  </si>
  <si>
    <t>P001026000.JPG</t>
  </si>
  <si>
    <t>P001026000S</t>
  </si>
  <si>
    <t>OUTDOOR-DOWNLIGHT 4+6UF</t>
  </si>
  <si>
    <t>RECEIVER FOR F564/F577/F582/F583</t>
  </si>
  <si>
    <t>P001026000S.JPG</t>
  </si>
  <si>
    <t>P001029000S</t>
  </si>
  <si>
    <t>REPLACEMENT RECIEVER DOWN LIGHT (5+6UF)</t>
  </si>
  <si>
    <t>P001029000S.JPG</t>
  </si>
  <si>
    <t>P001034000S</t>
  </si>
  <si>
    <t>6+5UF DOWN LIGHT-CFL INDDOR PL</t>
  </si>
  <si>
    <t>RECEIVER FOR F514/F586</t>
  </si>
  <si>
    <t>LIGHT GREEN</t>
  </si>
  <si>
    <t>P001034000S.JPG</t>
  </si>
  <si>
    <t>P001035000S</t>
  </si>
  <si>
    <t>REPLACEMENT RECEIVER DOWNLIGHT (4+5UF)</t>
  </si>
  <si>
    <t>RECEIVER FOR F824</t>
  </si>
  <si>
    <t>P001035000S.JPG</t>
  </si>
  <si>
    <t>P001037000S</t>
  </si>
  <si>
    <t>5+10UF NO LIGHT FOR F302</t>
  </si>
  <si>
    <t>RECEIVER FOR F302</t>
  </si>
  <si>
    <t>P001037000S.JPG</t>
  </si>
  <si>
    <t>P001038000S</t>
  </si>
  <si>
    <t>4+5UF OUTDOOR - DOWN LIGHT</t>
  </si>
  <si>
    <t>RECEIVER FOR F593/594/F753/F680/F734</t>
  </si>
  <si>
    <t>P001038000S.JPG</t>
  </si>
  <si>
    <t>P001045000S</t>
  </si>
  <si>
    <t>CANOPY RECEIVER FOR F681 OUTDOOR</t>
  </si>
  <si>
    <t>RECEIVER FOR F681</t>
  </si>
  <si>
    <t>P001045000S.JPG</t>
  </si>
  <si>
    <t>P001</t>
  </si>
  <si>
    <t>HAND-HELD REMOTE CONTROL SYSTEM</t>
  </si>
  <si>
    <t>RC210</t>
  </si>
  <si>
    <t>HAND HELD FAN CONTROL</t>
  </si>
  <si>
    <t>RC210.JPG</t>
  </si>
  <si>
    <t>RC211</t>
  </si>
  <si>
    <t>RC211.JPG</t>
  </si>
  <si>
    <t>RC400</t>
  </si>
  <si>
    <t>RC400.JPG</t>
  </si>
  <si>
    <t>RC500</t>
  </si>
  <si>
    <t>HAND-HELD REMOTE CONTROL FOR F853</t>
  </si>
  <si>
    <t>RC500.JPG</t>
  </si>
  <si>
    <t>RC600</t>
  </si>
  <si>
    <t>ARTEMIS</t>
  </si>
  <si>
    <t>RC600.JPG</t>
  </si>
  <si>
    <t>RCS212</t>
  </si>
  <si>
    <t>RCS212.JPG</t>
  </si>
  <si>
    <t>RCS213</t>
  </si>
  <si>
    <t>RCS213.JPG</t>
  </si>
  <si>
    <t>RCS223</t>
  </si>
  <si>
    <t>RCS223.JPG</t>
  </si>
  <si>
    <t>RCS223L</t>
  </si>
  <si>
    <t>HAND HELD REMOTE CONTROL FOR LED</t>
  </si>
  <si>
    <t>REMOTE CONTROL MANUAL REV AND LED RECEIVER K9110/5L K9120L</t>
  </si>
  <si>
    <t>RCS223L.JPG</t>
  </si>
  <si>
    <t>WC105-WH</t>
  </si>
  <si>
    <t>WALL CONTROL SYSTEM</t>
  </si>
  <si>
    <t>WALL MOUNT FAN CONTROL</t>
  </si>
  <si>
    <t>WC105-WH.JPG</t>
  </si>
  <si>
    <t>WC105</t>
  </si>
  <si>
    <t>WC106-WH</t>
  </si>
  <si>
    <t>WC106-WH.JPG</t>
  </si>
  <si>
    <t>WC106</t>
  </si>
  <si>
    <t>WC110</t>
  </si>
  <si>
    <t>SPACESAVER</t>
  </si>
  <si>
    <t>WC110.JPG</t>
  </si>
  <si>
    <t>WC115</t>
  </si>
  <si>
    <t>WALL SPEED CONTROL</t>
  </si>
  <si>
    <t>WC115.JPG</t>
  </si>
  <si>
    <t>WC116</t>
  </si>
  <si>
    <t>4 SPEED WALL CONTROL</t>
  </si>
  <si>
    <t>WC116.JPG</t>
  </si>
  <si>
    <t>WC116L</t>
  </si>
  <si>
    <t>WALL MOUNT FAN CONTROL FOR K9727L</t>
  </si>
  <si>
    <t>WC116L.JPG</t>
  </si>
  <si>
    <t>WC210</t>
  </si>
  <si>
    <t>WC210.JPG</t>
  </si>
  <si>
    <t>WC211</t>
  </si>
  <si>
    <t>WC211.JPG</t>
  </si>
  <si>
    <t>WC400</t>
  </si>
  <si>
    <t>DC FAN WALL REMOTE CONTROL FULL FUNCTION</t>
  </si>
  <si>
    <t>DC WALL FAN CONTROL</t>
  </si>
  <si>
    <t>WC400.JPG</t>
  </si>
  <si>
    <t>WC500</t>
  </si>
  <si>
    <t>DC FAN WALL REMOTE CONTROL FULL FUCTION</t>
  </si>
  <si>
    <t>WC500.JPG</t>
  </si>
  <si>
    <t>WC600</t>
  </si>
  <si>
    <t>WC600.JPG</t>
  </si>
  <si>
    <t>WCS212</t>
  </si>
  <si>
    <t>WCS212.JPG</t>
  </si>
  <si>
    <t>WCS213</t>
  </si>
  <si>
    <t>WCS213.JPG</t>
  </si>
  <si>
    <t>WCS223</t>
  </si>
  <si>
    <t>WCS223.JPG</t>
  </si>
  <si>
    <t>RECEIVER FOR F623L</t>
  </si>
  <si>
    <t>12" DOWN ROD IN GRAPHITE STEEL</t>
  </si>
  <si>
    <t>18" DOWN ROD IN GRAPHITE STEEL</t>
  </si>
  <si>
    <t>24" DOWN ROD IN GRAPHITE STEEL</t>
  </si>
  <si>
    <t>36" DOWN ROD IN GRAPHITE STEEL</t>
  </si>
  <si>
    <t>48" DOWN ROD IN GRAPHITE STEEL</t>
  </si>
  <si>
    <t>60" DOWN ROD IN GRAPHITE STEEL</t>
  </si>
  <si>
    <t>72" DOWN ROD IN GRAPHITE STEEL</t>
  </si>
  <si>
    <t>12" DOWN ROD IN BAHAMA BEIGE™</t>
  </si>
  <si>
    <t>12" DOWN ROD IN BELCARO WALNUT™</t>
  </si>
  <si>
    <t>12" DOWN ROD IN CATTERA BRONZE™</t>
  </si>
  <si>
    <t>12" DOWN ROD IN DARK RESTORATION BRONZE™</t>
  </si>
  <si>
    <t>12" DOWN ROD IN HERITAGE™</t>
  </si>
  <si>
    <t>12" DOWN ROD IN ILLUMINATI BRONZE™</t>
  </si>
  <si>
    <t>12" DOWN ROD IN MOSSORO WALNUT™</t>
  </si>
  <si>
    <t>12" DOWN ROD IN RESTORATION BRONZE™</t>
  </si>
  <si>
    <t>12" DOWN ROD IN TUSCAN PATINA™</t>
  </si>
  <si>
    <t>12" DOWN ROD IN VINTAGE RUST™</t>
  </si>
  <si>
    <t>12" DOWN ROD IN VOLTERRA BRONZE™</t>
  </si>
  <si>
    <t>18" DOWN ROD IN BAHAMA BEIGE™</t>
  </si>
  <si>
    <t>18" DOWN ROD IN BELCARO WALNUT™</t>
  </si>
  <si>
    <t>18" DOWN ROD IN CATTERA BRONZE™</t>
  </si>
  <si>
    <t>18" DOWN ROD IN DARK RESTORATION BRONZE™</t>
  </si>
  <si>
    <t>18" DOWN ROD IN HERITAGE™</t>
  </si>
  <si>
    <t>18" DOWN ROD IN ILLUMINATI BRONZE™</t>
  </si>
  <si>
    <t>18" DOWN ROD IN MOSSORO WALNUT™</t>
  </si>
  <si>
    <t>18" DOWN ROD IN RESTORATION BRONZE™</t>
  </si>
  <si>
    <t>18" DOWN ROD IN TUSCAN PATINA™</t>
  </si>
  <si>
    <t>18" DOWN ROD IN VINTAGE RUST™</t>
  </si>
  <si>
    <t>18" DOWN ROD IN VOLTERRA BRONZE™</t>
  </si>
  <si>
    <t>24" DOWN ROD IN BAHAMA BEIGE™</t>
  </si>
  <si>
    <t>24" DOWN ROD IN BELCARO WALNUT™</t>
  </si>
  <si>
    <t>24" DOWN ROD IN CATTERA BRONZE™</t>
  </si>
  <si>
    <t>24" DOWN ROD IN DARK RESTORATION BRONZE™</t>
  </si>
  <si>
    <t>24" DOWN ROD IN HERITAGE™</t>
  </si>
  <si>
    <t>24" DOWN ROD IN ILLUMINATI BRONZE™</t>
  </si>
  <si>
    <t>24" DOWN ROD IN MOSSORO WALNUT™</t>
  </si>
  <si>
    <t>24" DOWN ROD IN RESTORATION BRONZE™</t>
  </si>
  <si>
    <t>24" DOWN ROD IN TUSCAN PATINA™</t>
  </si>
  <si>
    <t>24" DOWN ROD IN VINTAGE RUST™</t>
  </si>
  <si>
    <t>24" DOWN ROD IN VOLTERRA BRONZE™</t>
  </si>
  <si>
    <t>36" DOWN ROD IN BAHAMA BEIGE™</t>
  </si>
  <si>
    <t>36" DOWN ROD IN BELCARO WALNUT™</t>
  </si>
  <si>
    <t>36" DOWN ROD IN CATTERA BRONZE™</t>
  </si>
  <si>
    <t>36" DOWN ROD IN DARK RESTORATION BRONZE™</t>
  </si>
  <si>
    <t>36" DOWN ROD IN HERITAGE™</t>
  </si>
  <si>
    <t>36" DOWN ROD IN ILLUMINATI BRONZE™</t>
  </si>
  <si>
    <t>36" DOWN ROD IN MOSSORO WALNUT™</t>
  </si>
  <si>
    <t>36" DOWN ROD IN RESTORATION BRONZE™</t>
  </si>
  <si>
    <t>36" DOWN ROD IN TUSCAN PATINA™</t>
  </si>
  <si>
    <t>36" DOWN ROD IN VINTAGE RUST™</t>
  </si>
  <si>
    <t>36" DOWN ROD IN VOLTERRA BRONZE™</t>
  </si>
  <si>
    <t>4.5" DOWN ROD IN BELCARO WALNUT™</t>
  </si>
  <si>
    <t>4.5" DOWN ROD IN DARK RESTORATION BRONZE™</t>
  </si>
  <si>
    <t>4.5" DOWN ROD IN VOLTERRA BRONZE™</t>
  </si>
  <si>
    <t>45 DEGREE SLOPE CEILING ADAPTER IN BAHAMA BEIGE™</t>
  </si>
  <si>
    <t>45 DEGREE SLOPE CEILING ADAPTER IN BELCARO WALNUT™</t>
  </si>
  <si>
    <t>45 DEGREE SLOPE CEILING ADAPTER IN CATTERA BRONZE™</t>
  </si>
  <si>
    <t>45 DEGREE SLOPE CEILING ADAPTER IN DARK RESTORATION BRONZE™</t>
  </si>
  <si>
    <t>45 DEGREE SLOPE CEILING ADAPTER IN HERITAGE™</t>
  </si>
  <si>
    <t>45 DEGREE SLOPE CEILING ADAPTER IN ILLUMINATI BRONZE™</t>
  </si>
  <si>
    <t>45 DEGREE SLOPE CEILING ADAPTER IN MOSSORO WALNUT™</t>
  </si>
  <si>
    <t>45 DEGREE SLOPE CEILING ADAPTER IN RESTORATION BRONZE™</t>
  </si>
  <si>
    <t>45 DEGREE SLOPE CEILING ADAPTER IN TUSCAN PATINA™</t>
  </si>
  <si>
    <t>45 DEGREE SLOPE CEILING ADAPTER IN VINTAGE RUST™</t>
  </si>
  <si>
    <t>45 DEGREE SLOPE CEILING ADAPTER IN VOLTERRA BRONZE™</t>
  </si>
  <si>
    <t>48" DOWN ROD IN BAHAMA BEIGE™</t>
  </si>
  <si>
    <t>48" DOWN ROD IN BELCARO WALNUT™</t>
  </si>
  <si>
    <t>48" DOWN ROD IN CATTERA BRONZE™</t>
  </si>
  <si>
    <t>48" DOWN ROD IN DARK RESTORATION BRONZE™</t>
  </si>
  <si>
    <t>48" DOWN ROD IN HERITAGE™</t>
  </si>
  <si>
    <t>48" DOWN ROD IN ILLUMINATI BRONZE™</t>
  </si>
  <si>
    <t>48" DOWN ROD IN MOSSORO WALNUT™</t>
  </si>
  <si>
    <t>48" DOWN ROD IN RESTORATION BRONZE™</t>
  </si>
  <si>
    <t>48" DOWN ROD IN TUSCAN PATINA™</t>
  </si>
  <si>
    <t>48" DOWN ROD IN VINTAGE RUST™</t>
  </si>
  <si>
    <t>48" DOWN ROD IN VOLTERRA BRONZE™</t>
  </si>
  <si>
    <t>60" DOWN ROD IN BAHAMA BEIGE™</t>
  </si>
  <si>
    <t>60" DOWN ROD IN BELCARO WALNUT™</t>
  </si>
  <si>
    <t>60" DOWN ROD IN CATTERA BRONZE™</t>
  </si>
  <si>
    <t>60" DOWN ROD IN DARK RESTORATION BRONZE™</t>
  </si>
  <si>
    <t>60" DOWN ROD IN HERITAGE™</t>
  </si>
  <si>
    <t>60" DOWN ROD IN MOSSORO WALNUT™</t>
  </si>
  <si>
    <t>60" DOWN ROD IN RESTORATION BRONZE™</t>
  </si>
  <si>
    <t>60" DOWN ROD IN TUSCAN PATINA™</t>
  </si>
  <si>
    <t>60" DOWN ROD IN VINTAGE RUST™</t>
  </si>
  <si>
    <t>60" DOWN ROD IN VOLTERRA BRONZE™</t>
  </si>
  <si>
    <t>72" DOWN ROD IN BAHAMA BEIGE™</t>
  </si>
  <si>
    <t>72" DOWN ROD IN BELCARO WALNUT™</t>
  </si>
  <si>
    <t>72" DOWN ROD IN CATTERA BRONZE™</t>
  </si>
  <si>
    <t>72" DOWN ROD IN DARK RESTORATION BRONZE™</t>
  </si>
  <si>
    <t>72" DOWN ROD IN HERITAGE™</t>
  </si>
  <si>
    <t>72" DOWN ROD IN MOSSORO WALNUT™</t>
  </si>
  <si>
    <t>72" DOWN ROD IN RESTORATION BRONZE™</t>
  </si>
  <si>
    <t>72" DOWN ROD IN TUSCAN PATINA™</t>
  </si>
  <si>
    <t>72" DOWN ROD IN VINTAGE RUST™</t>
  </si>
  <si>
    <t>72" DOWN ROD IN VOLTERRA BRONZE™</t>
  </si>
  <si>
    <t>ACERO™ - 52" CEILING FAN</t>
  </si>
  <si>
    <t>AIRUS™ - 54" CEILING FAN</t>
  </si>
  <si>
    <t>ARTEMIS™ - LED 58" CEILING FAN</t>
  </si>
  <si>
    <t>ARTEMIS™ IV - LED 64" CEILING FAN</t>
  </si>
  <si>
    <t>ARTEMIS™ XL5 - LED 62" CEILING FAN</t>
  </si>
  <si>
    <t>BOLO™ - 52" CEILING FAN</t>
  </si>
  <si>
    <t>CAGE FREE GYRO™ - LED 37" CEILING FAN</t>
  </si>
  <si>
    <t>CALAIS™ - 52" CEILING FAN</t>
  </si>
  <si>
    <t>CAP AND FINIAL IN BELCARO WALNUT™</t>
  </si>
  <si>
    <t>CAP AND FINIAL IN CATTERA BRONZE™</t>
  </si>
  <si>
    <t>CAP AND FINIAL VINTAGE RUST™ IN VINTAGE RUST™</t>
  </si>
  <si>
    <t>CIRQUE™ - 54" CEILING FAN</t>
  </si>
  <si>
    <t>CLASSICA - CUSTOM LIGHT KIT IN BELCARO WALNUT™</t>
  </si>
  <si>
    <t>COMO™ - 54" CEILING FAN</t>
  </si>
  <si>
    <t>CONCEPT™ I - LED 44" CEILING FAN</t>
  </si>
  <si>
    <t>CONCEPT™ I - LED 52" CEILING FAN</t>
  </si>
  <si>
    <t>CONCEPT™ I WET - LED 58" CEILING FAN</t>
  </si>
  <si>
    <t>CONCEPT™ II - LED 44" CEILING FAN</t>
  </si>
  <si>
    <t>CONCEPT™ II - LED 52" CEILING FAN</t>
  </si>
  <si>
    <t>CONCEPT™ II WET - LED 52" CEILING FAN</t>
  </si>
  <si>
    <t>COUPLER IN BAHAMA BEIGE™</t>
  </si>
  <si>
    <t>COUPLER IN BELCARO WALNUT™</t>
  </si>
  <si>
    <t>COUPLER IN CATTERA BRONZE™</t>
  </si>
  <si>
    <t>COUPLER IN DARK RESTORATION BRONZE™</t>
  </si>
  <si>
    <t>COUPLER IN HERITAGE™</t>
  </si>
  <si>
    <t>COUPLER IN ILLUMINATI BRONZE™</t>
  </si>
  <si>
    <t>COUPLER IN MOSSORO WALNUT™</t>
  </si>
  <si>
    <t>COUPLER IN RESTORATION BRONZE™</t>
  </si>
  <si>
    <t>COUPLER IN TUSCAN PATINA™</t>
  </si>
  <si>
    <t>COUPLER IN VINTAGE RUST™</t>
  </si>
  <si>
    <t>COUPLER IN VOLTERRA BRONZE™</t>
  </si>
  <si>
    <t>CRISTAFANO™ - 68" CEILING FAN</t>
  </si>
  <si>
    <t>CRISTAFANO™ - OPTIONAL SPECTRA® SWAROVSKI® CRYSTAL SET</t>
  </si>
  <si>
    <t>GAUGUIN™ - 52" CEILING FAN</t>
  </si>
  <si>
    <t>GYRO™ - 42" CEILING FAN</t>
  </si>
  <si>
    <t>GYRO™ WET - 42" CEILING FAN</t>
  </si>
  <si>
    <t>LOW CEILING ADAPTER IN BAHAMA BEIGE™</t>
  </si>
  <si>
    <t>LOW CEILING ADAPTER IN BELCARO WALNUT™</t>
  </si>
  <si>
    <t>LOW CEILING ADAPTER IN CATTERA BRONZE™</t>
  </si>
  <si>
    <t>LOW CEILING ADAPTER IN DARK RESTORATION BRONZE™</t>
  </si>
  <si>
    <t>LOW CEILING ADAPTER IN HERITAGE™</t>
  </si>
  <si>
    <t>LOW CEILING ADAPTER IN ILLUMINATI BRONZE™</t>
  </si>
  <si>
    <t>LOW CEILING ADAPTER IN MOSSORO WALNUT™</t>
  </si>
  <si>
    <t>LOW CEILING ADAPTER IN TUSCAN PATINA™</t>
  </si>
  <si>
    <t>LOW CEILING ADAPTER IN VINTAGE RUST™</t>
  </si>
  <si>
    <t>MESA™ - 42" CEILING FAN</t>
  </si>
  <si>
    <t>MESA™ - 52" CEILING FAN</t>
  </si>
  <si>
    <t>NAPOLI™ - 56" CEILING FAN</t>
  </si>
  <si>
    <t>NAPOLI™ - 68" CEILING FAN</t>
  </si>
  <si>
    <t>NAPOLI™ - CEILING FAN MEDALLION</t>
  </si>
  <si>
    <t>RAINMAN™ - 54" CEILING FAN</t>
  </si>
  <si>
    <t>SANTA LUCIA™ - 60" CEILING FAN</t>
  </si>
  <si>
    <t>SUNDANCE™ - 42" CEILING FAN</t>
  </si>
  <si>
    <t>SUNDANCE™ - 52" CEILING FAN</t>
  </si>
  <si>
    <t>TRADITIONAL CONCEPT™ - LED CEILING FAN</t>
  </si>
  <si>
    <t>TRADITIONAL GYRO™ - 42" CEILING FAN</t>
  </si>
  <si>
    <t>ULTRA-MAX™ - 54" CEILING FAN</t>
  </si>
  <si>
    <t>UNIVERSAL 10 1/2" LIGHT KIT IN MOSSORO WALNUT™</t>
  </si>
  <si>
    <t>UNIVERSAL 10 1/2" LIGHT KIT IN VINTAGE RUST™</t>
  </si>
  <si>
    <t>UNIVERSAL 11 1/4" LIGHT KIT IN BELCARO WALNUT™</t>
  </si>
  <si>
    <t>UNIVERSAL 11 3/4" LIGHT KIT IN BELCARO WALNUT™</t>
  </si>
  <si>
    <t>UNIVERSAL 13 1/4" ALABASTER DUST™ GLASS LIGHT KIT</t>
  </si>
  <si>
    <t>VINTAGE GYRO™ - 42" CEILING FAN</t>
  </si>
  <si>
    <t>VOLTERRA™ - 52" CEILING FAN</t>
  </si>
  <si>
    <t>Minka Aire Distributor Net/UMRP Price List - Effective February 15, 2019</t>
  </si>
  <si>
    <t xml:space="preserve"> Please note, combination of F900-BCW + CG900 SET  DN $549.90  UMRP $969.90</t>
  </si>
  <si>
    <t>STEEL ALUMINUM WOOD</t>
  </si>
  <si>
    <t>F747L</t>
  </si>
  <si>
    <t>F747L-HBZ-MP.JPG</t>
  </si>
  <si>
    <t>Z26 26W LED</t>
  </si>
  <si>
    <t>TIMBER - LED 68" CEILING FAN</t>
  </si>
  <si>
    <t>68IN TIMBER LED CEILING FAN</t>
  </si>
  <si>
    <t>F747L-HBZ/MP</t>
  </si>
  <si>
    <t>STEEL ALIMINUM WOOD</t>
  </si>
  <si>
    <t>F747L-HBZ-AW.JPG</t>
  </si>
  <si>
    <t>F747L-HBZ/AW</t>
  </si>
  <si>
    <t>F747L-BN-CL.JPG</t>
  </si>
  <si>
    <t>68IN LED TIMBER CEILING FAN</t>
  </si>
  <si>
    <t>F747L-BN/CL</t>
  </si>
  <si>
    <t>F864L-BNK</t>
  </si>
  <si>
    <t>65" CEILLING FAN W/ LIGHT KIT</t>
  </si>
  <si>
    <t>BARN - LED 65" CEILING FAN</t>
  </si>
  <si>
    <t>BARN</t>
  </si>
  <si>
    <t>Z09</t>
  </si>
  <si>
    <t>F864L-BNK.JPG</t>
  </si>
  <si>
    <t>10"</t>
  </si>
  <si>
    <t>.75"</t>
  </si>
  <si>
    <t>PLYWOOD</t>
  </si>
  <si>
    <t>F864L-HBZ</t>
  </si>
  <si>
    <t>F864L-HBZ.JPG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</si>
</sst>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15" fontId="0" fillId="0" borderId="0" xfId="0" applyNumberFormat="1"/>
    <xf numFmtId="16" fontId="0" fillId="0" borderId="0" xfId="0" applyNumberFormat="1"/>
    <xf numFmtId="14" fontId="0" fillId="0" borderId="0" xfId="0" applyNumberFormat="1"/>
    <xf numFmtId="0" fontId="0" fillId="0" borderId="0" xfId="0" applyAlignment="1">
      <alignment horizontal="left"/>
    </xf>
    <xf numFmtId="0" fontId="18" fillId="33" borderId="10" xfId="0" applyFont="1" applyFill="1" applyBorder="1" applyAlignment="1">
      <alignment horizontal="left"/>
    </xf>
    <xf numFmtId="1" fontId="18" fillId="33" borderId="11" xfId="0" applyNumberFormat="1" applyFont="1" applyFill="1" applyBorder="1" applyAlignment="1">
      <alignment horizontal="center"/>
    </xf>
    <xf numFmtId="0" fontId="18" fillId="33" borderId="11" xfId="0" applyFont="1" applyFill="1" applyBorder="1" applyAlignment="1">
      <alignment horizontal="left"/>
    </xf>
    <xf numFmtId="0" fontId="18" fillId="33" borderId="11" xfId="0" applyFont="1" applyFill="1" applyBorder="1" applyAlignment="1">
      <alignment horizontal="center"/>
    </xf>
    <xf numFmtId="0" fontId="18" fillId="33" borderId="11" xfId="0" applyFont="1" applyFill="1" applyBorder="1" applyAlignment="1"/>
    <xf numFmtId="44" fontId="18" fillId="33" borderId="11" xfId="42" applyFont="1" applyFill="1" applyBorder="1" applyAlignment="1"/>
    <xf numFmtId="14" fontId="18" fillId="33" borderId="11" xfId="0" applyNumberFormat="1" applyFont="1" applyFill="1" applyBorder="1" applyAlignment="1"/>
    <xf numFmtId="0" fontId="18" fillId="33" borderId="11" xfId="0" applyFont="1" applyFill="1" applyBorder="1"/>
    <xf numFmtId="0" fontId="13" fillId="33" borderId="0" xfId="0" applyFont="1" applyFill="1" applyBorder="1"/>
    <xf numFmtId="0" fontId="0" fillId="0" borderId="0" xfId="0" applyFill="1"/>
    <xf numFmtId="0" fontId="18" fillId="33" borderId="12" xfId="0" applyFont="1" applyFill="1" applyBorder="1" applyAlignment="1">
      <alignment horizontal="left"/>
    </xf>
    <xf numFmtId="1" fontId="18" fillId="33" borderId="0" xfId="0" applyNumberFormat="1" applyFont="1" applyFill="1" applyBorder="1" applyAlignment="1">
      <alignment horizontal="center"/>
    </xf>
    <xf numFmtId="0" fontId="18" fillId="33" borderId="0" xfId="0" applyFont="1" applyFill="1" applyBorder="1"/>
    <xf numFmtId="0" fontId="18" fillId="33" borderId="0" xfId="0" applyFont="1" applyFill="1" applyBorder="1" applyAlignment="1">
      <alignment horizontal="center"/>
    </xf>
    <xf numFmtId="0" fontId="18" fillId="33" borderId="0" xfId="0" applyFont="1" applyFill="1" applyBorder="1" applyAlignment="1"/>
    <xf numFmtId="44" fontId="18" fillId="33" borderId="0" xfId="42" applyFont="1" applyFill="1" applyBorder="1" applyAlignment="1"/>
    <xf numFmtId="14" fontId="18" fillId="33" borderId="0" xfId="0" applyNumberFormat="1" applyFont="1" applyFill="1" applyBorder="1" applyAlignment="1"/>
    <xf numFmtId="0" fontId="18" fillId="33" borderId="0" xfId="0" applyFont="1" applyFill="1" applyBorder="1" applyAlignment="1">
      <alignment horizontal="left"/>
    </xf>
    <xf numFmtId="0" fontId="18" fillId="33" borderId="13" xfId="0" applyFont="1" applyFill="1" applyBorder="1" applyAlignment="1">
      <alignment horizontal="left"/>
    </xf>
    <xf numFmtId="1" fontId="18" fillId="33" borderId="14" xfId="0" applyNumberFormat="1" applyFont="1" applyFill="1" applyBorder="1" applyAlignment="1">
      <alignment horizontal="center"/>
    </xf>
    <xf numFmtId="0" fontId="18" fillId="33" borderId="14" xfId="0" applyFont="1" applyFill="1" applyBorder="1"/>
    <xf numFmtId="0" fontId="18" fillId="33" borderId="14" xfId="0" applyFont="1" applyFill="1" applyBorder="1" applyAlignment="1">
      <alignment horizontal="center"/>
    </xf>
    <xf numFmtId="0" fontId="18" fillId="33" borderId="14" xfId="0" applyFont="1" applyFill="1" applyBorder="1" applyAlignment="1"/>
    <xf numFmtId="44" fontId="18" fillId="33" borderId="14" xfId="42" applyFont="1" applyFill="1" applyBorder="1" applyAlignment="1"/>
    <xf numFmtId="14" fontId="18" fillId="33" borderId="14" xfId="0" applyNumberFormat="1" applyFont="1" applyFill="1" applyBorder="1" applyAlignment="1"/>
    <xf numFmtId="0" fontId="18" fillId="33" borderId="14" xfId="0" applyFont="1" applyFill="1" applyBorder="1" applyAlignment="1">
      <alignment horizontal="left"/>
    </xf>
    <xf numFmtId="0" fontId="13" fillId="33" borderId="14" xfId="0" applyFont="1" applyFill="1" applyBorder="1"/>
    <xf numFmtId="44" fontId="0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317"/>
  <sheetViews>
    <sheetView tabSelected="1" workbookViewId="0">
      <pane xSplit="1" ySplit="3" topLeftCell="B949" activePane="bottomRight" state="frozen"/>
      <selection pane="topRight" activeCell="B1" sqref="B1"/>
      <selection pane="bottomLeft" activeCell="A4" sqref="A4"/>
      <selection pane="bottomRight" activeCell="A957" sqref="A957"/>
    </sheetView>
  </sheetViews>
  <sheetFormatPr defaultRowHeight="15" x14ac:dyDescent="0.25"/>
  <cols>
    <col min="1" max="1" width="16.5703125" style="4" bestFit="1" customWidth="1"/>
    <col min="2" max="2" width="13.140625" bestFit="1" customWidth="1"/>
    <col min="3" max="3" width="51.5703125" bestFit="1" customWidth="1"/>
    <col min="4" max="4" width="82.140625" bestFit="1" customWidth="1"/>
    <col min="5" max="5" width="31.28515625" bestFit="1" customWidth="1"/>
    <col min="6" max="6" width="35.85546875" bestFit="1" customWidth="1"/>
    <col min="7" max="7" width="14.42578125" bestFit="1" customWidth="1"/>
    <col min="8" max="8" width="15.28515625" bestFit="1" customWidth="1"/>
    <col min="9" max="9" width="11" bestFit="1" customWidth="1"/>
    <col min="10" max="10" width="15.42578125" style="32" bestFit="1" customWidth="1"/>
    <col min="11" max="11" width="11" style="32" bestFit="1" customWidth="1"/>
    <col min="12" max="12" width="9.5703125" bestFit="1" customWidth="1"/>
    <col min="13" max="13" width="5.7109375" bestFit="1" customWidth="1"/>
    <col min="14" max="14" width="10.5703125" bestFit="1" customWidth="1"/>
    <col min="15" max="15" width="6.42578125" bestFit="1" customWidth="1"/>
    <col min="16" max="16" width="11.28515625" bestFit="1" customWidth="1"/>
    <col min="17" max="17" width="6.28515625" bestFit="1" customWidth="1"/>
    <col min="18" max="18" width="11.140625" style="32" bestFit="1" customWidth="1"/>
    <col min="19" max="19" width="6.85546875" bestFit="1" customWidth="1"/>
    <col min="20" max="20" width="7" bestFit="1" customWidth="1"/>
    <col min="21" max="21" width="6.42578125" bestFit="1" customWidth="1"/>
    <col min="22" max="22" width="8" bestFit="1" customWidth="1"/>
    <col min="23" max="23" width="7.42578125" bestFit="1" customWidth="1"/>
    <col min="24" max="24" width="15.42578125" bestFit="1" customWidth="1"/>
    <col min="25" max="25" width="13.28515625" bestFit="1" customWidth="1"/>
    <col min="26" max="26" width="13.42578125" bestFit="1" customWidth="1"/>
    <col min="27" max="27" width="12.7109375" bestFit="1" customWidth="1"/>
    <col min="28" max="28" width="16.7109375" bestFit="1" customWidth="1"/>
    <col min="29" max="29" width="12.7109375" bestFit="1" customWidth="1"/>
    <col min="30" max="30" width="7.85546875" bestFit="1" customWidth="1"/>
    <col min="31" max="31" width="16" bestFit="1" customWidth="1"/>
    <col min="32" max="32" width="36.28515625" bestFit="1" customWidth="1"/>
    <col min="33" max="33" width="12.5703125" bestFit="1" customWidth="1"/>
    <col min="34" max="34" width="17" bestFit="1" customWidth="1"/>
    <col min="35" max="35" width="21.7109375" bestFit="1" customWidth="1"/>
    <col min="36" max="36" width="14.28515625" bestFit="1" customWidth="1"/>
    <col min="37" max="37" width="13.28515625" bestFit="1" customWidth="1"/>
    <col min="38" max="38" width="15.7109375" bestFit="1" customWidth="1"/>
    <col min="39" max="39" width="4.42578125" bestFit="1" customWidth="1"/>
    <col min="40" max="40" width="3.85546875" bestFit="1" customWidth="1"/>
    <col min="41" max="41" width="3.140625" bestFit="1" customWidth="1"/>
    <col min="42" max="42" width="11.5703125" bestFit="1" customWidth="1"/>
    <col min="43" max="43" width="6.42578125" bestFit="1" customWidth="1"/>
    <col min="44" max="44" width="11" bestFit="1" customWidth="1"/>
    <col min="45" max="45" width="19.42578125" bestFit="1" customWidth="1"/>
    <col min="46" max="46" width="8" bestFit="1" customWidth="1"/>
    <col min="47" max="47" width="14.5703125" bestFit="1" customWidth="1"/>
    <col min="48" max="48" width="10.85546875" bestFit="1" customWidth="1"/>
    <col min="49" max="49" width="8.85546875" bestFit="1" customWidth="1"/>
    <col min="50" max="50" width="39.42578125" bestFit="1" customWidth="1"/>
    <col min="51" max="51" width="15.5703125" bestFit="1" customWidth="1"/>
    <col min="52" max="52" width="16" bestFit="1" customWidth="1"/>
    <col min="53" max="53" width="13.85546875" bestFit="1" customWidth="1"/>
    <col min="54" max="54" width="12.42578125" bestFit="1" customWidth="1"/>
    <col min="55" max="55" width="27.42578125" bestFit="1" customWidth="1"/>
    <col min="56" max="56" width="11.7109375" bestFit="1" customWidth="1"/>
    <col min="57" max="57" width="15.7109375" bestFit="1" customWidth="1"/>
    <col min="58" max="58" width="20.28515625" bestFit="1" customWidth="1"/>
    <col min="59" max="59" width="8.42578125" bestFit="1" customWidth="1"/>
    <col min="60" max="60" width="4.85546875" bestFit="1" customWidth="1"/>
    <col min="61" max="61" width="7.42578125" bestFit="1" customWidth="1"/>
    <col min="62" max="62" width="14.28515625" bestFit="1" customWidth="1"/>
    <col min="63" max="63" width="20.5703125" bestFit="1" customWidth="1"/>
    <col min="64" max="64" width="14.28515625" bestFit="1" customWidth="1"/>
    <col min="65" max="65" width="15.5703125" bestFit="1" customWidth="1"/>
    <col min="66" max="66" width="16" bestFit="1" customWidth="1"/>
    <col min="67" max="67" width="18.5703125" bestFit="1" customWidth="1"/>
    <col min="68" max="68" width="16.140625" bestFit="1" customWidth="1"/>
    <col min="69" max="69" width="21.7109375" bestFit="1" customWidth="1"/>
    <col min="70" max="70" width="19.140625" bestFit="1" customWidth="1"/>
    <col min="71" max="71" width="19.28515625" bestFit="1" customWidth="1"/>
    <col min="72" max="72" width="18.7109375" bestFit="1" customWidth="1"/>
    <col min="73" max="74" width="17.28515625" bestFit="1" customWidth="1"/>
    <col min="75" max="75" width="15.140625" bestFit="1" customWidth="1"/>
    <col min="76" max="76" width="12.7109375" bestFit="1" customWidth="1"/>
    <col min="77" max="77" width="16.42578125" bestFit="1" customWidth="1"/>
    <col min="78" max="78" width="41.85546875" bestFit="1" customWidth="1"/>
    <col min="79" max="79" width="19.140625" bestFit="1" customWidth="1"/>
    <col min="80" max="80" width="39.42578125" bestFit="1" customWidth="1"/>
    <col min="81" max="81" width="5" bestFit="1" customWidth="1"/>
    <col min="82" max="82" width="6" bestFit="1" customWidth="1"/>
    <col min="83" max="83" width="7" bestFit="1" customWidth="1"/>
    <col min="84" max="84" width="10" bestFit="1" customWidth="1"/>
    <col min="85" max="85" width="11.140625" bestFit="1" customWidth="1"/>
    <col min="86" max="86" width="3.140625" bestFit="1" customWidth="1"/>
    <col min="87" max="87" width="13.5703125" bestFit="1" customWidth="1"/>
    <col min="88" max="88" width="17.28515625" bestFit="1" customWidth="1"/>
    <col min="89" max="89" width="15.5703125" bestFit="1" customWidth="1"/>
    <col min="90" max="90" width="10.140625" bestFit="1" customWidth="1"/>
    <col min="91" max="91" width="6" bestFit="1" customWidth="1"/>
    <col min="92" max="92" width="41.7109375" bestFit="1" customWidth="1"/>
    <col min="93" max="93" width="10.7109375" bestFit="1" customWidth="1"/>
    <col min="94" max="94" width="11.28515625" bestFit="1" customWidth="1"/>
  </cols>
  <sheetData>
    <row r="1" spans="1:94" s="14" customFormat="1" ht="15.75" x14ac:dyDescent="0.25">
      <c r="A1" s="5" t="s">
        <v>4510</v>
      </c>
      <c r="B1" s="6"/>
      <c r="C1" s="7"/>
      <c r="D1" s="7"/>
      <c r="E1" s="7"/>
      <c r="F1" s="7"/>
      <c r="G1" s="8"/>
      <c r="H1" s="8"/>
      <c r="I1" s="9"/>
      <c r="J1" s="10"/>
      <c r="K1" s="10"/>
      <c r="L1" s="9"/>
      <c r="M1" s="9"/>
      <c r="N1" s="9"/>
      <c r="O1" s="9"/>
      <c r="P1" s="9"/>
      <c r="Q1" s="9"/>
      <c r="R1" s="10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11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8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7"/>
      <c r="BS1" s="9"/>
      <c r="BT1" s="7"/>
      <c r="BU1" s="10"/>
      <c r="BV1" s="10"/>
      <c r="BW1" s="9"/>
      <c r="BX1" s="9"/>
      <c r="BY1" s="9"/>
      <c r="BZ1" s="9"/>
      <c r="CA1" s="9"/>
      <c r="CB1" s="9"/>
      <c r="CC1" s="9"/>
      <c r="CD1" s="9"/>
      <c r="CE1" s="9"/>
      <c r="CF1" s="9"/>
      <c r="CG1" s="12"/>
      <c r="CH1" s="12"/>
      <c r="CI1" s="12"/>
      <c r="CJ1" s="12"/>
      <c r="CK1" s="13"/>
      <c r="CL1" s="13"/>
      <c r="CM1" s="13"/>
      <c r="CN1" s="13"/>
      <c r="CO1" s="13"/>
      <c r="CP1" s="13"/>
    </row>
    <row r="2" spans="1:94" s="14" customFormat="1" ht="15.75" x14ac:dyDescent="0.25">
      <c r="A2" s="15" t="s">
        <v>4511</v>
      </c>
      <c r="B2" s="16"/>
      <c r="C2" s="17"/>
      <c r="D2" s="18"/>
      <c r="E2" s="18"/>
      <c r="F2" s="17"/>
      <c r="G2" s="18"/>
      <c r="H2" s="18"/>
      <c r="I2" s="19"/>
      <c r="J2" s="20"/>
      <c r="K2" s="20"/>
      <c r="L2" s="19"/>
      <c r="M2" s="19"/>
      <c r="N2" s="19"/>
      <c r="O2" s="19"/>
      <c r="P2" s="19"/>
      <c r="Q2" s="19"/>
      <c r="R2" s="20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21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8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22"/>
      <c r="BS2" s="19"/>
      <c r="BT2" s="22"/>
      <c r="BU2" s="20"/>
      <c r="BV2" s="20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7"/>
      <c r="CH2" s="17"/>
      <c r="CI2" s="17"/>
      <c r="CJ2" s="17"/>
      <c r="CK2" s="13"/>
      <c r="CL2" s="13"/>
      <c r="CM2" s="13"/>
      <c r="CN2" s="13"/>
      <c r="CO2" s="13"/>
      <c r="CP2" s="13"/>
    </row>
    <row r="3" spans="1:94" s="14" customFormat="1" ht="16.5" thickBot="1" x14ac:dyDescent="0.3">
      <c r="A3" s="23" t="s">
        <v>0</v>
      </c>
      <c r="B3" s="24" t="s">
        <v>1</v>
      </c>
      <c r="C3" s="25" t="s">
        <v>2</v>
      </c>
      <c r="D3" s="26" t="s">
        <v>3</v>
      </c>
      <c r="E3" s="26" t="s">
        <v>4</v>
      </c>
      <c r="F3" s="25" t="s">
        <v>5</v>
      </c>
      <c r="G3" s="26" t="s">
        <v>6</v>
      </c>
      <c r="H3" s="26" t="s">
        <v>7</v>
      </c>
      <c r="I3" s="27" t="s">
        <v>8</v>
      </c>
      <c r="J3" s="28" t="s">
        <v>9</v>
      </c>
      <c r="K3" s="28" t="s">
        <v>10</v>
      </c>
      <c r="L3" s="27" t="s">
        <v>11</v>
      </c>
      <c r="M3" s="27" t="s">
        <v>12</v>
      </c>
      <c r="N3" s="27" t="s">
        <v>13</v>
      </c>
      <c r="O3" s="27" t="s">
        <v>14</v>
      </c>
      <c r="P3" s="27" t="s">
        <v>15</v>
      </c>
      <c r="Q3" s="27" t="s">
        <v>16</v>
      </c>
      <c r="R3" s="28" t="s">
        <v>17</v>
      </c>
      <c r="S3" s="27" t="s">
        <v>18</v>
      </c>
      <c r="T3" s="27" t="s">
        <v>19</v>
      </c>
      <c r="U3" s="27" t="s">
        <v>20</v>
      </c>
      <c r="V3" s="27" t="s">
        <v>21</v>
      </c>
      <c r="W3" s="27" t="s">
        <v>22</v>
      </c>
      <c r="X3" s="27" t="s">
        <v>23</v>
      </c>
      <c r="Y3" s="27" t="s">
        <v>24</v>
      </c>
      <c r="Z3" s="27" t="s">
        <v>25</v>
      </c>
      <c r="AA3" s="27" t="s">
        <v>26</v>
      </c>
      <c r="AB3" s="27" t="s">
        <v>27</v>
      </c>
      <c r="AC3" s="27" t="s">
        <v>28</v>
      </c>
      <c r="AD3" s="27" t="s">
        <v>29</v>
      </c>
      <c r="AE3" s="27" t="s">
        <v>30</v>
      </c>
      <c r="AF3" s="27" t="s">
        <v>31</v>
      </c>
      <c r="AG3" s="27" t="s">
        <v>32</v>
      </c>
      <c r="AH3" s="27" t="s">
        <v>33</v>
      </c>
      <c r="AI3" s="27" t="s">
        <v>34</v>
      </c>
      <c r="AJ3" s="27" t="s">
        <v>35</v>
      </c>
      <c r="AK3" s="27" t="s">
        <v>36</v>
      </c>
      <c r="AL3" s="27" t="s">
        <v>37</v>
      </c>
      <c r="AM3" s="27" t="s">
        <v>38</v>
      </c>
      <c r="AN3" s="29" t="s">
        <v>39</v>
      </c>
      <c r="AO3" s="27" t="s">
        <v>40</v>
      </c>
      <c r="AP3" s="27" t="s">
        <v>41</v>
      </c>
      <c r="AQ3" s="27" t="s">
        <v>42</v>
      </c>
      <c r="AR3" s="27" t="s">
        <v>43</v>
      </c>
      <c r="AS3" s="27" t="s">
        <v>44</v>
      </c>
      <c r="AT3" s="27" t="s">
        <v>45</v>
      </c>
      <c r="AU3" s="27" t="s">
        <v>46</v>
      </c>
      <c r="AV3" s="27" t="s">
        <v>47</v>
      </c>
      <c r="AW3" s="27" t="s">
        <v>48</v>
      </c>
      <c r="AX3" s="27" t="s">
        <v>49</v>
      </c>
      <c r="AY3" s="27" t="s">
        <v>50</v>
      </c>
      <c r="AZ3" s="27" t="s">
        <v>51</v>
      </c>
      <c r="BA3" s="27" t="s">
        <v>52</v>
      </c>
      <c r="BB3" s="27" t="s">
        <v>53</v>
      </c>
      <c r="BC3" s="27" t="s">
        <v>54</v>
      </c>
      <c r="BD3" s="27" t="s">
        <v>55</v>
      </c>
      <c r="BE3" s="27" t="s">
        <v>56</v>
      </c>
      <c r="BF3" s="26" t="s">
        <v>57</v>
      </c>
      <c r="BG3" s="27" t="s">
        <v>58</v>
      </c>
      <c r="BH3" s="27" t="s">
        <v>59</v>
      </c>
      <c r="BI3" s="27" t="s">
        <v>60</v>
      </c>
      <c r="BJ3" s="27" t="s">
        <v>61</v>
      </c>
      <c r="BK3" s="27" t="s">
        <v>62</v>
      </c>
      <c r="BL3" s="27" t="s">
        <v>63</v>
      </c>
      <c r="BM3" s="27" t="s">
        <v>64</v>
      </c>
      <c r="BN3" s="27" t="s">
        <v>65</v>
      </c>
      <c r="BO3" s="27" t="s">
        <v>66</v>
      </c>
      <c r="BP3" s="27" t="s">
        <v>67</v>
      </c>
      <c r="BQ3" s="27" t="s">
        <v>68</v>
      </c>
      <c r="BR3" s="30" t="s">
        <v>69</v>
      </c>
      <c r="BS3" s="27" t="s">
        <v>70</v>
      </c>
      <c r="BT3" s="30" t="s">
        <v>71</v>
      </c>
      <c r="BU3" s="28" t="s">
        <v>72</v>
      </c>
      <c r="BV3" s="28" t="s">
        <v>73</v>
      </c>
      <c r="BW3" s="27" t="s">
        <v>74</v>
      </c>
      <c r="BX3" s="27" t="s">
        <v>75</v>
      </c>
      <c r="BY3" s="27" t="s">
        <v>76</v>
      </c>
      <c r="BZ3" s="27" t="s">
        <v>77</v>
      </c>
      <c r="CA3" s="27" t="s">
        <v>78</v>
      </c>
      <c r="CB3" s="27" t="s">
        <v>79</v>
      </c>
      <c r="CC3" s="27" t="s">
        <v>80</v>
      </c>
      <c r="CD3" s="27" t="s">
        <v>81</v>
      </c>
      <c r="CE3" s="27" t="s">
        <v>82</v>
      </c>
      <c r="CF3" s="27" t="s">
        <v>83</v>
      </c>
      <c r="CG3" s="25" t="s">
        <v>84</v>
      </c>
      <c r="CH3" s="25" t="s">
        <v>85</v>
      </c>
      <c r="CI3" s="25" t="s">
        <v>86</v>
      </c>
      <c r="CJ3" s="25" t="s">
        <v>87</v>
      </c>
      <c r="CK3" s="31" t="s">
        <v>88</v>
      </c>
      <c r="CL3" s="31" t="s">
        <v>89</v>
      </c>
      <c r="CM3" s="31" t="s">
        <v>90</v>
      </c>
      <c r="CN3" s="31" t="s">
        <v>91</v>
      </c>
      <c r="CO3" s="31" t="s">
        <v>92</v>
      </c>
      <c r="CP3" s="31" t="s">
        <v>93</v>
      </c>
    </row>
    <row r="4" spans="1:94" x14ac:dyDescent="0.25">
      <c r="A4" s="4">
        <v>2548</v>
      </c>
      <c r="B4" t="str">
        <f xml:space="preserve"> "" &amp; 747396017983</f>
        <v>747396017983</v>
      </c>
      <c r="C4" t="s">
        <v>95</v>
      </c>
      <c r="D4" t="s">
        <v>101</v>
      </c>
      <c r="F4" t="s">
        <v>96</v>
      </c>
      <c r="G4">
        <v>1</v>
      </c>
      <c r="H4">
        <v>1</v>
      </c>
      <c r="I4" t="s">
        <v>97</v>
      </c>
      <c r="J4" s="32">
        <v>3.75</v>
      </c>
      <c r="K4" s="32">
        <v>11.25</v>
      </c>
      <c r="L4">
        <v>0</v>
      </c>
      <c r="N4">
        <v>0</v>
      </c>
      <c r="S4">
        <v>4.5</v>
      </c>
      <c r="U4">
        <v>4.75</v>
      </c>
      <c r="W4">
        <v>1.32</v>
      </c>
      <c r="X4">
        <v>1</v>
      </c>
      <c r="AB4">
        <v>7.5300000000000006E-2</v>
      </c>
      <c r="AC4">
        <v>1.72</v>
      </c>
      <c r="AK4" t="s">
        <v>98</v>
      </c>
      <c r="AM4" t="s">
        <v>98</v>
      </c>
      <c r="AN4" t="s">
        <v>98</v>
      </c>
      <c r="AO4" t="s">
        <v>98</v>
      </c>
      <c r="AP4" t="s">
        <v>99</v>
      </c>
      <c r="AQ4" t="s">
        <v>102</v>
      </c>
      <c r="AV4" t="s">
        <v>98</v>
      </c>
      <c r="BF4" t="s">
        <v>103</v>
      </c>
      <c r="BG4" t="s">
        <v>98</v>
      </c>
      <c r="BH4" t="s">
        <v>98</v>
      </c>
      <c r="BI4" t="s">
        <v>98</v>
      </c>
      <c r="CL4" t="s">
        <v>98</v>
      </c>
      <c r="CM4" t="s">
        <v>98</v>
      </c>
      <c r="CO4" s="1">
        <v>40064</v>
      </c>
      <c r="CP4" s="1">
        <v>43595</v>
      </c>
    </row>
    <row r="5" spans="1:94" x14ac:dyDescent="0.25">
      <c r="A5" s="4">
        <v>2549</v>
      </c>
      <c r="B5" t="str">
        <f xml:space="preserve"> "" &amp; 706411425493</f>
        <v>706411425493</v>
      </c>
      <c r="C5" t="s">
        <v>95</v>
      </c>
      <c r="D5" t="s">
        <v>104</v>
      </c>
      <c r="F5" t="s">
        <v>96</v>
      </c>
      <c r="G5">
        <v>1</v>
      </c>
      <c r="H5">
        <v>1</v>
      </c>
      <c r="I5" t="s">
        <v>97</v>
      </c>
      <c r="J5" s="32">
        <v>4.75</v>
      </c>
      <c r="K5" s="32">
        <v>14.25</v>
      </c>
      <c r="L5">
        <v>0</v>
      </c>
      <c r="N5">
        <v>0</v>
      </c>
      <c r="S5">
        <v>4.5</v>
      </c>
      <c r="U5">
        <v>4.75</v>
      </c>
      <c r="W5">
        <v>1.08</v>
      </c>
      <c r="X5">
        <v>1</v>
      </c>
      <c r="AB5">
        <v>7.5300000000000006E-2</v>
      </c>
      <c r="AC5">
        <v>1.39</v>
      </c>
      <c r="AK5" t="s">
        <v>98</v>
      </c>
      <c r="AM5" t="s">
        <v>98</v>
      </c>
      <c r="AN5" t="s">
        <v>98</v>
      </c>
      <c r="AO5" t="s">
        <v>98</v>
      </c>
      <c r="AP5" t="s">
        <v>99</v>
      </c>
      <c r="AQ5" t="s">
        <v>102</v>
      </c>
      <c r="AV5" t="s">
        <v>98</v>
      </c>
      <c r="BF5" t="s">
        <v>105</v>
      </c>
      <c r="BG5" t="s">
        <v>98</v>
      </c>
      <c r="BH5" t="s">
        <v>98</v>
      </c>
      <c r="BI5" t="s">
        <v>98</v>
      </c>
      <c r="CA5">
        <v>2549</v>
      </c>
      <c r="CL5" t="s">
        <v>98</v>
      </c>
      <c r="CM5" t="s">
        <v>98</v>
      </c>
      <c r="CN5" t="s">
        <v>106</v>
      </c>
      <c r="CO5" s="1">
        <v>40064</v>
      </c>
      <c r="CP5" s="1">
        <v>43595</v>
      </c>
    </row>
    <row r="6" spans="1:94" x14ac:dyDescent="0.25">
      <c r="A6" s="4">
        <v>2560</v>
      </c>
      <c r="B6" t="str">
        <f xml:space="preserve"> "" &amp; 747396001753</f>
        <v>747396001753</v>
      </c>
      <c r="C6" t="s">
        <v>107</v>
      </c>
      <c r="D6" t="s">
        <v>108</v>
      </c>
      <c r="F6" t="s">
        <v>96</v>
      </c>
      <c r="G6">
        <v>1</v>
      </c>
      <c r="H6">
        <v>1</v>
      </c>
      <c r="I6" t="s">
        <v>97</v>
      </c>
      <c r="J6" s="32">
        <v>5.95</v>
      </c>
      <c r="K6" s="32">
        <v>17.850000000000001</v>
      </c>
      <c r="L6">
        <v>0</v>
      </c>
      <c r="N6">
        <v>0</v>
      </c>
      <c r="S6">
        <v>4.88</v>
      </c>
      <c r="U6">
        <v>5</v>
      </c>
      <c r="W6">
        <v>0.82</v>
      </c>
      <c r="X6">
        <v>1</v>
      </c>
      <c r="AB6">
        <v>8.0799999999999997E-2</v>
      </c>
      <c r="AC6">
        <v>0.93</v>
      </c>
      <c r="AK6" t="s">
        <v>98</v>
      </c>
      <c r="AM6" t="s">
        <v>98</v>
      </c>
      <c r="AN6" t="s">
        <v>98</v>
      </c>
      <c r="AO6" t="s">
        <v>98</v>
      </c>
      <c r="AP6" t="s">
        <v>99</v>
      </c>
      <c r="AQ6" t="s">
        <v>102</v>
      </c>
      <c r="AV6" t="s">
        <v>98</v>
      </c>
      <c r="AZ6" t="s">
        <v>109</v>
      </c>
      <c r="BF6" t="s">
        <v>110</v>
      </c>
      <c r="BG6" t="s">
        <v>98</v>
      </c>
      <c r="BH6" t="s">
        <v>98</v>
      </c>
      <c r="BI6" t="s">
        <v>98</v>
      </c>
      <c r="CL6" t="s">
        <v>98</v>
      </c>
      <c r="CM6" t="s">
        <v>98</v>
      </c>
      <c r="CN6" t="s">
        <v>106</v>
      </c>
      <c r="CP6" s="1">
        <v>43595</v>
      </c>
    </row>
    <row r="7" spans="1:94" x14ac:dyDescent="0.25">
      <c r="A7" s="4">
        <v>2565</v>
      </c>
      <c r="B7" t="str">
        <f xml:space="preserve"> "" &amp; 747396018614</f>
        <v>747396018614</v>
      </c>
      <c r="C7" t="s">
        <v>111</v>
      </c>
      <c r="D7" t="s">
        <v>112</v>
      </c>
      <c r="F7" t="s">
        <v>96</v>
      </c>
      <c r="G7">
        <v>1</v>
      </c>
      <c r="H7">
        <v>1</v>
      </c>
      <c r="I7" t="s">
        <v>97</v>
      </c>
      <c r="J7" s="32">
        <v>4.5</v>
      </c>
      <c r="K7" s="32">
        <v>13.5</v>
      </c>
      <c r="L7">
        <v>0</v>
      </c>
      <c r="N7">
        <v>0</v>
      </c>
      <c r="S7">
        <v>4.38</v>
      </c>
      <c r="U7">
        <v>4.88</v>
      </c>
      <c r="W7">
        <v>1.9</v>
      </c>
      <c r="X7">
        <v>1</v>
      </c>
      <c r="AB7">
        <v>7.5300000000000006E-2</v>
      </c>
      <c r="AC7">
        <v>2.4</v>
      </c>
      <c r="AK7" t="s">
        <v>98</v>
      </c>
      <c r="AM7" t="s">
        <v>98</v>
      </c>
      <c r="AN7" t="s">
        <v>98</v>
      </c>
      <c r="AO7" t="s">
        <v>98</v>
      </c>
      <c r="AP7" t="s">
        <v>99</v>
      </c>
      <c r="AQ7" t="s">
        <v>102</v>
      </c>
      <c r="AV7" t="s">
        <v>98</v>
      </c>
      <c r="BF7" t="s">
        <v>113</v>
      </c>
      <c r="BG7" t="s">
        <v>98</v>
      </c>
      <c r="BH7" t="s">
        <v>98</v>
      </c>
      <c r="BI7" t="s">
        <v>98</v>
      </c>
      <c r="CA7">
        <v>2565</v>
      </c>
      <c r="CL7" t="s">
        <v>98</v>
      </c>
      <c r="CM7" t="s">
        <v>98</v>
      </c>
      <c r="CN7" t="s">
        <v>106</v>
      </c>
      <c r="CO7" s="1">
        <v>39380</v>
      </c>
      <c r="CP7" s="1">
        <v>43595</v>
      </c>
    </row>
    <row r="8" spans="1:94" x14ac:dyDescent="0.25">
      <c r="A8" s="4">
        <v>2632</v>
      </c>
      <c r="B8" t="str">
        <f xml:space="preserve"> "" &amp; 706411029585</f>
        <v>706411029585</v>
      </c>
      <c r="C8" t="s">
        <v>95</v>
      </c>
      <c r="D8" t="s">
        <v>108</v>
      </c>
      <c r="F8" t="s">
        <v>96</v>
      </c>
      <c r="G8">
        <v>1</v>
      </c>
      <c r="H8">
        <v>1</v>
      </c>
      <c r="I8" t="s">
        <v>97</v>
      </c>
      <c r="J8" s="32">
        <v>5.5</v>
      </c>
      <c r="K8" s="32">
        <v>16.5</v>
      </c>
      <c r="L8">
        <v>0</v>
      </c>
      <c r="N8">
        <v>0</v>
      </c>
      <c r="W8">
        <v>0.79200000000000004</v>
      </c>
      <c r="X8">
        <v>1</v>
      </c>
      <c r="AB8">
        <v>0.05</v>
      </c>
      <c r="AC8">
        <v>0.96299999999999997</v>
      </c>
      <c r="AK8" t="s">
        <v>98</v>
      </c>
      <c r="AM8" t="s">
        <v>98</v>
      </c>
      <c r="AN8" t="s">
        <v>98</v>
      </c>
      <c r="AO8" t="s">
        <v>98</v>
      </c>
      <c r="AP8" t="s">
        <v>99</v>
      </c>
      <c r="AQ8" t="s">
        <v>102</v>
      </c>
      <c r="AV8" t="s">
        <v>98</v>
      </c>
      <c r="BF8" t="s">
        <v>126</v>
      </c>
      <c r="BG8" t="s">
        <v>98</v>
      </c>
      <c r="BH8" t="s">
        <v>98</v>
      </c>
      <c r="BI8" t="s">
        <v>98</v>
      </c>
      <c r="CL8" t="s">
        <v>98</v>
      </c>
      <c r="CM8" t="s">
        <v>98</v>
      </c>
      <c r="CP8" s="1">
        <v>43595</v>
      </c>
    </row>
    <row r="9" spans="1:94" x14ac:dyDescent="0.25">
      <c r="A9" s="4">
        <v>2636</v>
      </c>
      <c r="B9" t="str">
        <f xml:space="preserve"> "" &amp; 706411029615</f>
        <v>706411029615</v>
      </c>
      <c r="C9" t="s">
        <v>95</v>
      </c>
      <c r="D9" t="s">
        <v>108</v>
      </c>
      <c r="F9" t="s">
        <v>96</v>
      </c>
      <c r="G9">
        <v>1</v>
      </c>
      <c r="H9">
        <v>1</v>
      </c>
      <c r="I9" t="s">
        <v>97</v>
      </c>
      <c r="J9" s="32">
        <v>5.5</v>
      </c>
      <c r="K9" s="32">
        <v>16.5</v>
      </c>
      <c r="L9">
        <v>0</v>
      </c>
      <c r="N9">
        <v>0</v>
      </c>
      <c r="S9">
        <v>4.75</v>
      </c>
      <c r="U9">
        <v>5</v>
      </c>
      <c r="W9">
        <v>0.82499999999999996</v>
      </c>
      <c r="X9">
        <v>1</v>
      </c>
      <c r="AB9">
        <v>0.05</v>
      </c>
      <c r="AC9">
        <v>0.96299999999999997</v>
      </c>
      <c r="AK9" t="s">
        <v>98</v>
      </c>
      <c r="AM9" t="s">
        <v>98</v>
      </c>
      <c r="AN9" t="s">
        <v>98</v>
      </c>
      <c r="AO9" t="s">
        <v>98</v>
      </c>
      <c r="AP9" t="s">
        <v>99</v>
      </c>
      <c r="AQ9" t="s">
        <v>102</v>
      </c>
      <c r="AV9" t="s">
        <v>98</v>
      </c>
      <c r="AZ9" t="s">
        <v>109</v>
      </c>
      <c r="BF9" t="s">
        <v>127</v>
      </c>
      <c r="BG9" t="s">
        <v>98</v>
      </c>
      <c r="BH9" t="s">
        <v>98</v>
      </c>
      <c r="BI9" t="s">
        <v>98</v>
      </c>
      <c r="CL9" t="s">
        <v>98</v>
      </c>
      <c r="CM9" t="s">
        <v>98</v>
      </c>
      <c r="CN9" t="s">
        <v>106</v>
      </c>
      <c r="CO9" s="1">
        <v>38371</v>
      </c>
      <c r="CP9" s="1">
        <v>43595</v>
      </c>
    </row>
    <row r="10" spans="1:94" x14ac:dyDescent="0.25">
      <c r="A10" s="4">
        <v>2645</v>
      </c>
      <c r="B10" t="str">
        <f xml:space="preserve"> "" &amp; 706411029691</f>
        <v>706411029691</v>
      </c>
      <c r="C10" t="s">
        <v>95</v>
      </c>
      <c r="D10" t="s">
        <v>128</v>
      </c>
      <c r="F10" t="s">
        <v>96</v>
      </c>
      <c r="G10">
        <v>1</v>
      </c>
      <c r="H10">
        <v>1</v>
      </c>
      <c r="I10" t="s">
        <v>97</v>
      </c>
      <c r="J10" s="32">
        <v>5</v>
      </c>
      <c r="K10" s="32">
        <v>15</v>
      </c>
      <c r="L10">
        <v>0</v>
      </c>
      <c r="N10">
        <v>0</v>
      </c>
      <c r="W10">
        <v>1.1319999999999999</v>
      </c>
      <c r="X10">
        <v>1</v>
      </c>
      <c r="AB10">
        <v>6.9400000000000003E-2</v>
      </c>
      <c r="AC10">
        <v>1.2769999999999999</v>
      </c>
      <c r="AK10" t="s">
        <v>98</v>
      </c>
      <c r="AM10" t="s">
        <v>98</v>
      </c>
      <c r="AN10" t="s">
        <v>98</v>
      </c>
      <c r="AO10" t="s">
        <v>98</v>
      </c>
      <c r="AP10" t="s">
        <v>99</v>
      </c>
      <c r="AQ10" t="s">
        <v>102</v>
      </c>
      <c r="AV10" t="s">
        <v>98</v>
      </c>
      <c r="BF10" t="s">
        <v>129</v>
      </c>
      <c r="BG10" t="s">
        <v>98</v>
      </c>
      <c r="BH10" t="s">
        <v>98</v>
      </c>
      <c r="BI10" t="s">
        <v>98</v>
      </c>
      <c r="CL10" t="s">
        <v>98</v>
      </c>
      <c r="CM10" t="s">
        <v>98</v>
      </c>
      <c r="CP10" s="1">
        <v>43595</v>
      </c>
    </row>
    <row r="11" spans="1:94" x14ac:dyDescent="0.25">
      <c r="A11" s="4">
        <v>2646</v>
      </c>
      <c r="B11" t="str">
        <f xml:space="preserve"> "" &amp; 706411029707</f>
        <v>706411029707</v>
      </c>
      <c r="C11" t="s">
        <v>95</v>
      </c>
      <c r="D11" t="s">
        <v>108</v>
      </c>
      <c r="F11" t="s">
        <v>96</v>
      </c>
      <c r="G11">
        <v>1</v>
      </c>
      <c r="H11">
        <v>1</v>
      </c>
      <c r="I11" t="s">
        <v>97</v>
      </c>
      <c r="J11" s="32">
        <v>6</v>
      </c>
      <c r="K11" s="32">
        <v>18</v>
      </c>
      <c r="L11">
        <v>0</v>
      </c>
      <c r="N11">
        <v>0</v>
      </c>
      <c r="S11">
        <v>13.25</v>
      </c>
      <c r="T11">
        <v>5.5</v>
      </c>
      <c r="U11">
        <v>5.5</v>
      </c>
      <c r="W11">
        <v>1.1000000000000001</v>
      </c>
      <c r="X11">
        <v>1</v>
      </c>
      <c r="Y11">
        <v>13.25</v>
      </c>
      <c r="Z11">
        <v>5.5</v>
      </c>
      <c r="AA11">
        <v>5.5</v>
      </c>
      <c r="AB11">
        <v>0.23200000000000001</v>
      </c>
      <c r="AC11">
        <v>1.32</v>
      </c>
      <c r="AK11" t="s">
        <v>98</v>
      </c>
      <c r="AM11" t="s">
        <v>98</v>
      </c>
      <c r="AN11" t="s">
        <v>98</v>
      </c>
      <c r="AO11" t="s">
        <v>98</v>
      </c>
      <c r="AP11" t="s">
        <v>99</v>
      </c>
      <c r="AQ11" t="s">
        <v>102</v>
      </c>
      <c r="AV11" t="s">
        <v>98</v>
      </c>
      <c r="BF11" t="s">
        <v>130</v>
      </c>
      <c r="BG11" t="s">
        <v>98</v>
      </c>
      <c r="BH11" t="s">
        <v>98</v>
      </c>
      <c r="BI11" t="s">
        <v>98</v>
      </c>
      <c r="CL11" t="s">
        <v>98</v>
      </c>
      <c r="CM11" t="s">
        <v>98</v>
      </c>
      <c r="CP11" s="1">
        <v>43595</v>
      </c>
    </row>
    <row r="12" spans="1:94" x14ac:dyDescent="0.25">
      <c r="A12" s="4">
        <v>2652</v>
      </c>
      <c r="B12" t="str">
        <f xml:space="preserve"> "" &amp; 706411053979</f>
        <v>706411053979</v>
      </c>
      <c r="C12" t="s">
        <v>131</v>
      </c>
      <c r="D12" t="s">
        <v>108</v>
      </c>
      <c r="F12" t="s">
        <v>96</v>
      </c>
      <c r="G12">
        <v>1</v>
      </c>
      <c r="H12">
        <v>1</v>
      </c>
      <c r="I12" t="s">
        <v>97</v>
      </c>
      <c r="J12" s="32">
        <v>4.75</v>
      </c>
      <c r="K12" s="32">
        <v>14.25</v>
      </c>
      <c r="L12">
        <v>0</v>
      </c>
      <c r="N12">
        <v>0</v>
      </c>
      <c r="S12">
        <v>4.75</v>
      </c>
      <c r="T12">
        <v>5</v>
      </c>
      <c r="U12">
        <v>5</v>
      </c>
      <c r="W12">
        <v>0.84</v>
      </c>
      <c r="X12">
        <v>1</v>
      </c>
      <c r="Y12">
        <v>10.25</v>
      </c>
      <c r="Z12">
        <v>5.25</v>
      </c>
      <c r="AA12">
        <v>5.25</v>
      </c>
      <c r="AB12">
        <v>0.16300000000000001</v>
      </c>
      <c r="AC12">
        <v>0.96299999999999997</v>
      </c>
      <c r="AK12" t="s">
        <v>98</v>
      </c>
      <c r="AM12" t="s">
        <v>98</v>
      </c>
      <c r="AN12" t="s">
        <v>98</v>
      </c>
      <c r="AO12" t="s">
        <v>98</v>
      </c>
      <c r="AP12" t="s">
        <v>99</v>
      </c>
      <c r="AQ12" t="s">
        <v>102</v>
      </c>
      <c r="AV12" t="s">
        <v>98</v>
      </c>
      <c r="AZ12" t="s">
        <v>109</v>
      </c>
      <c r="BF12" t="s">
        <v>132</v>
      </c>
      <c r="BG12" t="s">
        <v>98</v>
      </c>
      <c r="BH12" t="s">
        <v>98</v>
      </c>
      <c r="BI12" t="s">
        <v>98</v>
      </c>
      <c r="CA12">
        <v>2652</v>
      </c>
      <c r="CL12" t="s">
        <v>98</v>
      </c>
      <c r="CM12" t="s">
        <v>98</v>
      </c>
      <c r="CN12" t="s">
        <v>106</v>
      </c>
      <c r="CO12" s="1">
        <v>42248</v>
      </c>
      <c r="CP12" s="1">
        <v>43595</v>
      </c>
    </row>
    <row r="13" spans="1:94" x14ac:dyDescent="0.25">
      <c r="A13" s="4" t="s">
        <v>94</v>
      </c>
      <c r="B13" t="str">
        <f xml:space="preserve"> "" &amp; 747396017495</f>
        <v>747396017495</v>
      </c>
      <c r="C13" t="s">
        <v>95</v>
      </c>
      <c r="D13" t="s">
        <v>95</v>
      </c>
      <c r="F13" t="s">
        <v>96</v>
      </c>
      <c r="G13">
        <v>1</v>
      </c>
      <c r="H13">
        <v>1</v>
      </c>
      <c r="I13" t="s">
        <v>97</v>
      </c>
      <c r="J13" s="32">
        <v>4.25</v>
      </c>
      <c r="K13" s="32">
        <v>12.75</v>
      </c>
      <c r="L13">
        <v>0</v>
      </c>
      <c r="N13">
        <v>0</v>
      </c>
      <c r="W13">
        <v>0.30299999999999999</v>
      </c>
      <c r="X13">
        <v>1</v>
      </c>
      <c r="AB13">
        <v>7.5300000000000006E-2</v>
      </c>
      <c r="AC13">
        <v>0.44</v>
      </c>
      <c r="AK13" t="s">
        <v>98</v>
      </c>
      <c r="AM13" t="s">
        <v>98</v>
      </c>
      <c r="AN13" t="s">
        <v>98</v>
      </c>
      <c r="AO13" t="s">
        <v>98</v>
      </c>
      <c r="AP13" t="s">
        <v>99</v>
      </c>
      <c r="AQ13" t="s">
        <v>102</v>
      </c>
      <c r="AV13" t="s">
        <v>98</v>
      </c>
      <c r="BF13" t="s">
        <v>100</v>
      </c>
      <c r="BG13" t="s">
        <v>98</v>
      </c>
      <c r="BH13" t="s">
        <v>98</v>
      </c>
      <c r="BI13" t="s">
        <v>98</v>
      </c>
      <c r="CL13" t="s">
        <v>98</v>
      </c>
      <c r="CM13" t="s">
        <v>98</v>
      </c>
      <c r="CP13" s="1">
        <v>43595</v>
      </c>
    </row>
    <row r="14" spans="1:94" x14ac:dyDescent="0.25">
      <c r="A14" s="4" t="s">
        <v>114</v>
      </c>
      <c r="B14" t="str">
        <f xml:space="preserve"> "" &amp; 706411018831</f>
        <v>706411018831</v>
      </c>
      <c r="C14" t="s">
        <v>95</v>
      </c>
      <c r="D14" t="s">
        <v>108</v>
      </c>
      <c r="F14" t="s">
        <v>96</v>
      </c>
      <c r="G14">
        <v>1</v>
      </c>
      <c r="H14">
        <v>1</v>
      </c>
      <c r="I14" t="s">
        <v>97</v>
      </c>
      <c r="J14" s="32">
        <v>5.75</v>
      </c>
      <c r="K14" s="32">
        <v>17.25</v>
      </c>
      <c r="L14">
        <v>0</v>
      </c>
      <c r="N14">
        <v>0</v>
      </c>
      <c r="S14">
        <v>5.12</v>
      </c>
      <c r="U14">
        <v>4.87</v>
      </c>
      <c r="W14">
        <v>1.39</v>
      </c>
      <c r="X14">
        <v>1</v>
      </c>
      <c r="Y14">
        <v>5.5</v>
      </c>
      <c r="Z14">
        <v>10.25</v>
      </c>
      <c r="AA14">
        <v>10.25</v>
      </c>
      <c r="AB14">
        <v>0.33</v>
      </c>
      <c r="AC14">
        <v>1.61</v>
      </c>
      <c r="AK14" t="s">
        <v>98</v>
      </c>
      <c r="AM14" t="s">
        <v>98</v>
      </c>
      <c r="AN14" t="s">
        <v>98</v>
      </c>
      <c r="AO14" t="s">
        <v>98</v>
      </c>
      <c r="AP14" t="s">
        <v>99</v>
      </c>
      <c r="AQ14" t="s">
        <v>102</v>
      </c>
      <c r="AV14" t="s">
        <v>98</v>
      </c>
      <c r="BB14" t="s">
        <v>106</v>
      </c>
      <c r="BC14" t="s">
        <v>115</v>
      </c>
      <c r="BF14" t="s">
        <v>116</v>
      </c>
      <c r="BG14" t="s">
        <v>98</v>
      </c>
      <c r="BH14" t="s">
        <v>98</v>
      </c>
      <c r="BI14" t="s">
        <v>98</v>
      </c>
      <c r="CA14">
        <v>2593</v>
      </c>
      <c r="CL14" t="s">
        <v>98</v>
      </c>
      <c r="CM14" t="s">
        <v>98</v>
      </c>
      <c r="CN14" t="s">
        <v>106</v>
      </c>
      <c r="CO14" s="1">
        <v>40059</v>
      </c>
      <c r="CP14" s="1">
        <v>43595</v>
      </c>
    </row>
    <row r="15" spans="1:94" x14ac:dyDescent="0.25">
      <c r="A15" s="4" t="s">
        <v>117</v>
      </c>
      <c r="B15" t="str">
        <f xml:space="preserve"> "" &amp; 706411018848</f>
        <v>706411018848</v>
      </c>
      <c r="C15" t="s">
        <v>95</v>
      </c>
      <c r="D15" t="s">
        <v>108</v>
      </c>
      <c r="F15" t="s">
        <v>96</v>
      </c>
      <c r="G15">
        <v>1</v>
      </c>
      <c r="H15">
        <v>1</v>
      </c>
      <c r="I15" t="s">
        <v>97</v>
      </c>
      <c r="J15" s="32">
        <v>5.75</v>
      </c>
      <c r="K15" s="32">
        <v>17.25</v>
      </c>
      <c r="L15">
        <v>0</v>
      </c>
      <c r="N15">
        <v>0</v>
      </c>
      <c r="U15">
        <v>4.87</v>
      </c>
      <c r="V15">
        <v>5.12</v>
      </c>
      <c r="W15">
        <v>1.39</v>
      </c>
      <c r="X15">
        <v>1</v>
      </c>
      <c r="Y15">
        <v>5.5</v>
      </c>
      <c r="Z15">
        <v>10.25</v>
      </c>
      <c r="AA15">
        <v>10.25</v>
      </c>
      <c r="AB15">
        <v>0.33</v>
      </c>
      <c r="AC15">
        <v>1.61</v>
      </c>
      <c r="AK15" t="s">
        <v>98</v>
      </c>
      <c r="AM15" t="s">
        <v>98</v>
      </c>
      <c r="AN15" t="s">
        <v>98</v>
      </c>
      <c r="AO15" t="s">
        <v>98</v>
      </c>
      <c r="AP15" t="s">
        <v>99</v>
      </c>
      <c r="AQ15" t="s">
        <v>102</v>
      </c>
      <c r="AV15" t="s">
        <v>98</v>
      </c>
      <c r="BB15" t="s">
        <v>106</v>
      </c>
      <c r="BC15" t="s">
        <v>118</v>
      </c>
      <c r="BF15" t="s">
        <v>119</v>
      </c>
      <c r="BG15" t="s">
        <v>98</v>
      </c>
      <c r="BH15" t="s">
        <v>98</v>
      </c>
      <c r="BI15" t="s">
        <v>98</v>
      </c>
      <c r="CA15">
        <v>2593</v>
      </c>
      <c r="CL15" t="s">
        <v>98</v>
      </c>
      <c r="CM15" t="s">
        <v>98</v>
      </c>
      <c r="CN15" t="s">
        <v>106</v>
      </c>
      <c r="CO15" s="1">
        <v>37954</v>
      </c>
      <c r="CP15" s="1">
        <v>43595</v>
      </c>
    </row>
    <row r="16" spans="1:94" x14ac:dyDescent="0.25">
      <c r="A16" s="4" t="s">
        <v>120</v>
      </c>
      <c r="B16" t="str">
        <f xml:space="preserve"> "" &amp; 706411018862</f>
        <v>706411018862</v>
      </c>
      <c r="C16" t="s">
        <v>95</v>
      </c>
      <c r="D16" t="s">
        <v>108</v>
      </c>
      <c r="F16" t="s">
        <v>96</v>
      </c>
      <c r="G16">
        <v>1</v>
      </c>
      <c r="H16">
        <v>1</v>
      </c>
      <c r="I16" t="s">
        <v>97</v>
      </c>
      <c r="J16" s="32">
        <v>5.75</v>
      </c>
      <c r="K16" s="32">
        <v>17.25</v>
      </c>
      <c r="L16">
        <v>0</v>
      </c>
      <c r="N16">
        <v>0</v>
      </c>
      <c r="U16">
        <v>4.87</v>
      </c>
      <c r="V16">
        <v>5.12</v>
      </c>
      <c r="W16">
        <v>1.39</v>
      </c>
      <c r="X16">
        <v>1</v>
      </c>
      <c r="Y16">
        <v>5.5</v>
      </c>
      <c r="Z16">
        <v>10.25</v>
      </c>
      <c r="AA16">
        <v>10.25</v>
      </c>
      <c r="AB16">
        <v>0.33</v>
      </c>
      <c r="AC16">
        <v>1.61</v>
      </c>
      <c r="AK16" t="s">
        <v>98</v>
      </c>
      <c r="AM16" t="s">
        <v>98</v>
      </c>
      <c r="AN16" t="s">
        <v>98</v>
      </c>
      <c r="AO16" t="s">
        <v>98</v>
      </c>
      <c r="AP16" t="s">
        <v>99</v>
      </c>
      <c r="AQ16" t="s">
        <v>102</v>
      </c>
      <c r="AV16" t="s">
        <v>98</v>
      </c>
      <c r="BB16" t="s">
        <v>106</v>
      </c>
      <c r="BC16" t="s">
        <v>121</v>
      </c>
      <c r="BF16" t="s">
        <v>122</v>
      </c>
      <c r="BG16" t="s">
        <v>98</v>
      </c>
      <c r="BH16" t="s">
        <v>98</v>
      </c>
      <c r="BI16" t="s">
        <v>98</v>
      </c>
      <c r="CA16">
        <v>2593</v>
      </c>
      <c r="CL16" t="s">
        <v>98</v>
      </c>
      <c r="CM16" t="s">
        <v>98</v>
      </c>
      <c r="CN16" t="s">
        <v>106</v>
      </c>
      <c r="CO16" s="1">
        <v>37954</v>
      </c>
      <c r="CP16" s="1">
        <v>43595</v>
      </c>
    </row>
    <row r="17" spans="1:94" x14ac:dyDescent="0.25">
      <c r="A17" s="4" t="s">
        <v>123</v>
      </c>
      <c r="B17" t="str">
        <f xml:space="preserve"> "" &amp; 706411018879</f>
        <v>706411018879</v>
      </c>
      <c r="C17" t="s">
        <v>95</v>
      </c>
      <c r="D17" t="s">
        <v>108</v>
      </c>
      <c r="F17" t="s">
        <v>96</v>
      </c>
      <c r="G17">
        <v>1</v>
      </c>
      <c r="H17">
        <v>1</v>
      </c>
      <c r="I17" t="s">
        <v>97</v>
      </c>
      <c r="J17" s="32">
        <v>5.75</v>
      </c>
      <c r="K17" s="32">
        <v>17.25</v>
      </c>
      <c r="L17">
        <v>0</v>
      </c>
      <c r="N17">
        <v>0</v>
      </c>
      <c r="U17">
        <v>4.87</v>
      </c>
      <c r="V17">
        <v>5.12</v>
      </c>
      <c r="W17">
        <v>1.39</v>
      </c>
      <c r="X17">
        <v>1</v>
      </c>
      <c r="Y17">
        <v>5.5</v>
      </c>
      <c r="Z17">
        <v>10.25</v>
      </c>
      <c r="AA17">
        <v>10.25</v>
      </c>
      <c r="AB17">
        <v>0.33</v>
      </c>
      <c r="AC17">
        <v>1.61</v>
      </c>
      <c r="AK17" t="s">
        <v>98</v>
      </c>
      <c r="AM17" t="s">
        <v>98</v>
      </c>
      <c r="AN17" t="s">
        <v>98</v>
      </c>
      <c r="AO17" t="s">
        <v>98</v>
      </c>
      <c r="AP17" t="s">
        <v>99</v>
      </c>
      <c r="AQ17" t="s">
        <v>102</v>
      </c>
      <c r="AV17" t="s">
        <v>98</v>
      </c>
      <c r="BB17" t="s">
        <v>106</v>
      </c>
      <c r="BC17" t="s">
        <v>124</v>
      </c>
      <c r="BF17" t="s">
        <v>125</v>
      </c>
      <c r="BG17" t="s">
        <v>98</v>
      </c>
      <c r="BH17" t="s">
        <v>98</v>
      </c>
      <c r="BI17" t="s">
        <v>98</v>
      </c>
      <c r="CA17">
        <v>2593</v>
      </c>
      <c r="CL17" t="s">
        <v>98</v>
      </c>
      <c r="CM17" t="s">
        <v>98</v>
      </c>
      <c r="CN17" t="s">
        <v>106</v>
      </c>
      <c r="CO17" s="1">
        <v>40236</v>
      </c>
      <c r="CP17" s="1">
        <v>43595</v>
      </c>
    </row>
    <row r="18" spans="1:94" x14ac:dyDescent="0.25">
      <c r="A18" s="4" t="s">
        <v>133</v>
      </c>
      <c r="B18" t="str">
        <f xml:space="preserve"> "" &amp; 706411018930</f>
        <v>706411018930</v>
      </c>
      <c r="C18" t="s">
        <v>134</v>
      </c>
      <c r="D18" t="s">
        <v>4483</v>
      </c>
      <c r="F18" t="s">
        <v>135</v>
      </c>
      <c r="G18">
        <v>1</v>
      </c>
      <c r="H18">
        <v>1</v>
      </c>
      <c r="I18" t="s">
        <v>97</v>
      </c>
      <c r="J18" s="32">
        <v>7.5</v>
      </c>
      <c r="K18" s="32">
        <v>22.5</v>
      </c>
      <c r="L18">
        <v>0</v>
      </c>
      <c r="N18">
        <v>0</v>
      </c>
      <c r="S18">
        <v>2.37</v>
      </c>
      <c r="T18">
        <v>5.75</v>
      </c>
      <c r="U18">
        <v>5.12</v>
      </c>
      <c r="W18">
        <v>0.79</v>
      </c>
      <c r="X18">
        <v>1</v>
      </c>
      <c r="Y18">
        <v>3.25</v>
      </c>
      <c r="Z18">
        <v>5.75</v>
      </c>
      <c r="AA18">
        <v>5.75</v>
      </c>
      <c r="AB18">
        <v>6.2E-2</v>
      </c>
      <c r="AC18">
        <v>0.97</v>
      </c>
      <c r="AK18" t="s">
        <v>98</v>
      </c>
      <c r="AM18" t="s">
        <v>98</v>
      </c>
      <c r="AN18" t="s">
        <v>98</v>
      </c>
      <c r="AO18" t="s">
        <v>98</v>
      </c>
      <c r="AP18" t="s">
        <v>99</v>
      </c>
      <c r="AQ18" t="s">
        <v>102</v>
      </c>
      <c r="AV18" t="s">
        <v>98</v>
      </c>
      <c r="AX18" t="s">
        <v>136</v>
      </c>
      <c r="BF18" t="s">
        <v>137</v>
      </c>
      <c r="BG18" t="s">
        <v>98</v>
      </c>
      <c r="BH18" t="s">
        <v>98</v>
      </c>
      <c r="BI18" t="s">
        <v>98</v>
      </c>
      <c r="BK18" t="s">
        <v>138</v>
      </c>
      <c r="CA18" t="s">
        <v>139</v>
      </c>
      <c r="CB18" t="s">
        <v>136</v>
      </c>
      <c r="CL18" t="s">
        <v>98</v>
      </c>
      <c r="CM18" t="s">
        <v>98</v>
      </c>
      <c r="CO18" s="1">
        <v>38545</v>
      </c>
      <c r="CP18" s="1">
        <v>43595</v>
      </c>
    </row>
    <row r="19" spans="1:94" x14ac:dyDescent="0.25">
      <c r="A19" s="4" t="s">
        <v>140</v>
      </c>
      <c r="B19" t="str">
        <f xml:space="preserve"> "" &amp; 706411034770</f>
        <v>706411034770</v>
      </c>
      <c r="C19" t="s">
        <v>134</v>
      </c>
      <c r="D19" t="s">
        <v>141</v>
      </c>
      <c r="F19" t="s">
        <v>135</v>
      </c>
      <c r="G19">
        <v>1</v>
      </c>
      <c r="H19">
        <v>1</v>
      </c>
      <c r="I19" t="s">
        <v>97</v>
      </c>
      <c r="J19" s="32">
        <v>7.5</v>
      </c>
      <c r="K19" s="32">
        <v>22.5</v>
      </c>
      <c r="L19">
        <v>0</v>
      </c>
      <c r="N19">
        <v>0</v>
      </c>
      <c r="S19">
        <v>2.37</v>
      </c>
      <c r="T19">
        <v>5.75</v>
      </c>
      <c r="U19">
        <v>5.12</v>
      </c>
      <c r="W19">
        <v>0.79</v>
      </c>
      <c r="X19">
        <v>1</v>
      </c>
      <c r="Y19">
        <v>3.25</v>
      </c>
      <c r="Z19">
        <v>5.75</v>
      </c>
      <c r="AA19">
        <v>5.75</v>
      </c>
      <c r="AB19">
        <v>6.2E-2</v>
      </c>
      <c r="AC19">
        <v>0.97</v>
      </c>
      <c r="AK19" t="s">
        <v>98</v>
      </c>
      <c r="AM19" t="s">
        <v>98</v>
      </c>
      <c r="AN19" t="s">
        <v>98</v>
      </c>
      <c r="AO19" t="s">
        <v>98</v>
      </c>
      <c r="AP19" t="s">
        <v>99</v>
      </c>
      <c r="AQ19" t="s">
        <v>102</v>
      </c>
      <c r="AV19" t="s">
        <v>98</v>
      </c>
      <c r="AX19" t="s">
        <v>142</v>
      </c>
      <c r="BF19" t="s">
        <v>143</v>
      </c>
      <c r="BG19" t="s">
        <v>98</v>
      </c>
      <c r="BH19" t="s">
        <v>98</v>
      </c>
      <c r="BI19" t="s">
        <v>98</v>
      </c>
      <c r="BK19" t="s">
        <v>138</v>
      </c>
      <c r="CA19" t="s">
        <v>139</v>
      </c>
      <c r="CL19" t="s">
        <v>98</v>
      </c>
      <c r="CM19" t="s">
        <v>98</v>
      </c>
      <c r="CO19" s="1">
        <v>39728</v>
      </c>
      <c r="CP19" s="1">
        <v>43595</v>
      </c>
    </row>
    <row r="20" spans="1:94" x14ac:dyDescent="0.25">
      <c r="A20" s="4" t="s">
        <v>144</v>
      </c>
      <c r="B20" t="str">
        <f xml:space="preserve"> "" &amp; 706411035784</f>
        <v>706411035784</v>
      </c>
      <c r="C20" t="s">
        <v>134</v>
      </c>
      <c r="D20" t="s">
        <v>145</v>
      </c>
      <c r="F20" t="s">
        <v>135</v>
      </c>
      <c r="G20">
        <v>1</v>
      </c>
      <c r="H20">
        <v>1</v>
      </c>
      <c r="I20" t="s">
        <v>97</v>
      </c>
      <c r="J20" s="32">
        <v>6.5</v>
      </c>
      <c r="K20" s="32">
        <v>19.5</v>
      </c>
      <c r="L20">
        <v>0</v>
      </c>
      <c r="N20">
        <v>0</v>
      </c>
      <c r="S20">
        <v>2.37</v>
      </c>
      <c r="T20">
        <v>5.75</v>
      </c>
      <c r="U20">
        <v>5.12</v>
      </c>
      <c r="W20">
        <v>0.79</v>
      </c>
      <c r="X20">
        <v>1</v>
      </c>
      <c r="Y20">
        <v>3.25</v>
      </c>
      <c r="Z20">
        <v>5.75</v>
      </c>
      <c r="AA20">
        <v>5.75</v>
      </c>
      <c r="AB20">
        <v>6.2E-2</v>
      </c>
      <c r="AC20">
        <v>0.97</v>
      </c>
      <c r="AK20" t="s">
        <v>98</v>
      </c>
      <c r="AM20" t="s">
        <v>98</v>
      </c>
      <c r="AN20" t="s">
        <v>98</v>
      </c>
      <c r="AO20" t="s">
        <v>98</v>
      </c>
      <c r="AP20" t="s">
        <v>99</v>
      </c>
      <c r="AQ20" t="s">
        <v>102</v>
      </c>
      <c r="AV20" t="s">
        <v>98</v>
      </c>
      <c r="AX20" t="s">
        <v>146</v>
      </c>
      <c r="BF20" t="s">
        <v>147</v>
      </c>
      <c r="BG20" t="s">
        <v>98</v>
      </c>
      <c r="BH20" t="s">
        <v>98</v>
      </c>
      <c r="BI20" t="s">
        <v>98</v>
      </c>
      <c r="BK20" t="s">
        <v>138</v>
      </c>
      <c r="CA20" t="s">
        <v>139</v>
      </c>
      <c r="CB20" t="s">
        <v>146</v>
      </c>
      <c r="CL20" t="s">
        <v>98</v>
      </c>
      <c r="CM20" t="s">
        <v>98</v>
      </c>
      <c r="CO20" s="1">
        <v>39728</v>
      </c>
      <c r="CP20" s="1">
        <v>43595</v>
      </c>
    </row>
    <row r="21" spans="1:94" x14ac:dyDescent="0.25">
      <c r="A21" s="4" t="s">
        <v>148</v>
      </c>
      <c r="B21" t="str">
        <f xml:space="preserve"> "" &amp; 706411028229</f>
        <v>706411028229</v>
      </c>
      <c r="C21" t="s">
        <v>134</v>
      </c>
      <c r="D21" t="s">
        <v>149</v>
      </c>
      <c r="F21" t="s">
        <v>135</v>
      </c>
      <c r="G21">
        <v>1</v>
      </c>
      <c r="H21">
        <v>1</v>
      </c>
      <c r="I21" t="s">
        <v>97</v>
      </c>
      <c r="J21" s="32">
        <v>7.5</v>
      </c>
      <c r="K21" s="32">
        <v>22.5</v>
      </c>
      <c r="L21">
        <v>0</v>
      </c>
      <c r="N21">
        <v>0</v>
      </c>
      <c r="S21">
        <v>2.37</v>
      </c>
      <c r="T21">
        <v>5.75</v>
      </c>
      <c r="U21">
        <v>5.12</v>
      </c>
      <c r="W21">
        <v>0.79</v>
      </c>
      <c r="X21">
        <v>1</v>
      </c>
      <c r="Y21">
        <v>3.25</v>
      </c>
      <c r="Z21">
        <v>5.75</v>
      </c>
      <c r="AA21">
        <v>5.75</v>
      </c>
      <c r="AB21">
        <v>6.2E-2</v>
      </c>
      <c r="AC21">
        <v>0.97</v>
      </c>
      <c r="AK21" t="s">
        <v>98</v>
      </c>
      <c r="AM21" t="s">
        <v>98</v>
      </c>
      <c r="AN21" t="s">
        <v>98</v>
      </c>
      <c r="AO21" t="s">
        <v>98</v>
      </c>
      <c r="AP21" t="s">
        <v>99</v>
      </c>
      <c r="AQ21" t="s">
        <v>102</v>
      </c>
      <c r="AV21" t="s">
        <v>98</v>
      </c>
      <c r="AX21" t="s">
        <v>150</v>
      </c>
      <c r="BF21" t="s">
        <v>151</v>
      </c>
      <c r="BG21" t="s">
        <v>98</v>
      </c>
      <c r="BH21" t="s">
        <v>98</v>
      </c>
      <c r="BI21" t="s">
        <v>98</v>
      </c>
      <c r="BK21" t="s">
        <v>138</v>
      </c>
      <c r="CA21" t="s">
        <v>139</v>
      </c>
      <c r="CB21" t="s">
        <v>150</v>
      </c>
      <c r="CL21" t="s">
        <v>98</v>
      </c>
      <c r="CM21" t="s">
        <v>98</v>
      </c>
      <c r="CO21" s="1">
        <v>38545</v>
      </c>
      <c r="CP21" s="1">
        <v>43595</v>
      </c>
    </row>
    <row r="22" spans="1:94" x14ac:dyDescent="0.25">
      <c r="A22" s="4" t="s">
        <v>152</v>
      </c>
      <c r="B22" t="str">
        <f xml:space="preserve"> "" &amp; 706411056697</f>
        <v>706411056697</v>
      </c>
      <c r="C22" t="s">
        <v>134</v>
      </c>
      <c r="D22" t="s">
        <v>153</v>
      </c>
      <c r="F22" t="s">
        <v>135</v>
      </c>
      <c r="G22">
        <v>1</v>
      </c>
      <c r="H22">
        <v>1</v>
      </c>
      <c r="I22" t="s">
        <v>97</v>
      </c>
      <c r="J22" s="32">
        <v>7.5</v>
      </c>
      <c r="K22" s="32">
        <v>22.5</v>
      </c>
      <c r="L22">
        <v>0</v>
      </c>
      <c r="N22">
        <v>0</v>
      </c>
      <c r="S22">
        <v>2.37</v>
      </c>
      <c r="T22">
        <v>5.75</v>
      </c>
      <c r="U22">
        <v>5.12</v>
      </c>
      <c r="W22">
        <v>0.88</v>
      </c>
      <c r="X22">
        <v>1</v>
      </c>
      <c r="Y22">
        <v>3.25</v>
      </c>
      <c r="Z22">
        <v>5.75</v>
      </c>
      <c r="AA22">
        <v>5.75</v>
      </c>
      <c r="AB22">
        <v>6.2E-2</v>
      </c>
      <c r="AC22">
        <v>0.99</v>
      </c>
      <c r="AK22" t="s">
        <v>98</v>
      </c>
      <c r="AM22" t="s">
        <v>98</v>
      </c>
      <c r="AN22" t="s">
        <v>98</v>
      </c>
      <c r="AO22" t="s">
        <v>98</v>
      </c>
      <c r="AP22" t="s">
        <v>99</v>
      </c>
      <c r="AQ22" t="s">
        <v>102</v>
      </c>
      <c r="AV22" t="s">
        <v>98</v>
      </c>
      <c r="AX22" t="s">
        <v>154</v>
      </c>
      <c r="BF22" t="s">
        <v>155</v>
      </c>
      <c r="BG22" t="s">
        <v>98</v>
      </c>
      <c r="BH22" t="s">
        <v>98</v>
      </c>
      <c r="BI22" t="s">
        <v>98</v>
      </c>
      <c r="BK22" t="s">
        <v>138</v>
      </c>
      <c r="CA22" t="s">
        <v>139</v>
      </c>
      <c r="CB22" t="s">
        <v>154</v>
      </c>
      <c r="CL22" t="s">
        <v>98</v>
      </c>
      <c r="CM22" t="s">
        <v>98</v>
      </c>
      <c r="CN22" t="s">
        <v>156</v>
      </c>
      <c r="CO22" s="1">
        <v>42858</v>
      </c>
      <c r="CP22" s="1">
        <v>43595</v>
      </c>
    </row>
    <row r="23" spans="1:94" x14ac:dyDescent="0.25">
      <c r="A23" s="4" t="s">
        <v>157</v>
      </c>
      <c r="B23" t="str">
        <f xml:space="preserve"> "" &amp; 706411027505</f>
        <v>706411027505</v>
      </c>
      <c r="C23" t="s">
        <v>134</v>
      </c>
      <c r="D23" t="s">
        <v>158</v>
      </c>
      <c r="F23" t="s">
        <v>135</v>
      </c>
      <c r="G23">
        <v>1</v>
      </c>
      <c r="H23">
        <v>1</v>
      </c>
      <c r="I23" t="s">
        <v>97</v>
      </c>
      <c r="J23" s="32">
        <v>7.5</v>
      </c>
      <c r="K23" s="32">
        <v>22.5</v>
      </c>
      <c r="L23">
        <v>0</v>
      </c>
      <c r="N23">
        <v>0</v>
      </c>
      <c r="S23">
        <v>2.37</v>
      </c>
      <c r="T23">
        <v>5.75</v>
      </c>
      <c r="U23">
        <v>5.12</v>
      </c>
      <c r="W23">
        <v>0.79</v>
      </c>
      <c r="X23">
        <v>1</v>
      </c>
      <c r="Y23">
        <v>3.25</v>
      </c>
      <c r="Z23">
        <v>5.75</v>
      </c>
      <c r="AA23">
        <v>5.75</v>
      </c>
      <c r="AB23">
        <v>6.2E-2</v>
      </c>
      <c r="AC23">
        <v>0.97</v>
      </c>
      <c r="AK23" t="s">
        <v>98</v>
      </c>
      <c r="AM23" t="s">
        <v>98</v>
      </c>
      <c r="AN23" t="s">
        <v>98</v>
      </c>
      <c r="AO23" t="s">
        <v>98</v>
      </c>
      <c r="AP23" t="s">
        <v>99</v>
      </c>
      <c r="AQ23" t="s">
        <v>102</v>
      </c>
      <c r="AV23" t="s">
        <v>98</v>
      </c>
      <c r="AX23" t="s">
        <v>159</v>
      </c>
      <c r="BF23" t="s">
        <v>160</v>
      </c>
      <c r="BG23" t="s">
        <v>98</v>
      </c>
      <c r="BH23" t="s">
        <v>98</v>
      </c>
      <c r="BI23" t="s">
        <v>98</v>
      </c>
      <c r="BK23" t="s">
        <v>138</v>
      </c>
      <c r="CA23" t="s">
        <v>139</v>
      </c>
      <c r="CB23" t="s">
        <v>159</v>
      </c>
      <c r="CL23" t="s">
        <v>98</v>
      </c>
      <c r="CM23" t="s">
        <v>98</v>
      </c>
      <c r="CO23" s="1">
        <v>39728</v>
      </c>
      <c r="CP23" s="1">
        <v>43595</v>
      </c>
    </row>
    <row r="24" spans="1:94" x14ac:dyDescent="0.25">
      <c r="A24" s="4" t="s">
        <v>161</v>
      </c>
      <c r="B24" t="str">
        <f xml:space="preserve"> "" &amp; 706411018947</f>
        <v>706411018947</v>
      </c>
      <c r="C24" t="s">
        <v>134</v>
      </c>
      <c r="D24" t="s">
        <v>162</v>
      </c>
      <c r="F24" t="s">
        <v>135</v>
      </c>
      <c r="G24">
        <v>1</v>
      </c>
      <c r="H24">
        <v>1</v>
      </c>
      <c r="I24" t="s">
        <v>97</v>
      </c>
      <c r="J24" s="32">
        <v>7.5</v>
      </c>
      <c r="K24" s="32">
        <v>22.5</v>
      </c>
      <c r="L24">
        <v>0</v>
      </c>
      <c r="N24">
        <v>0</v>
      </c>
      <c r="S24">
        <v>2.37</v>
      </c>
      <c r="T24">
        <v>5.75</v>
      </c>
      <c r="U24">
        <v>5.12</v>
      </c>
      <c r="W24">
        <v>0.79</v>
      </c>
      <c r="X24">
        <v>1</v>
      </c>
      <c r="Y24">
        <v>3.25</v>
      </c>
      <c r="Z24">
        <v>5.75</v>
      </c>
      <c r="AA24">
        <v>5.75</v>
      </c>
      <c r="AB24">
        <v>6.2E-2</v>
      </c>
      <c r="AC24">
        <v>0.97</v>
      </c>
      <c r="AK24" t="s">
        <v>98</v>
      </c>
      <c r="AM24" t="s">
        <v>98</v>
      </c>
      <c r="AN24" t="s">
        <v>98</v>
      </c>
      <c r="AO24" t="s">
        <v>98</v>
      </c>
      <c r="AP24" t="s">
        <v>99</v>
      </c>
      <c r="AQ24" t="s">
        <v>102</v>
      </c>
      <c r="AV24" t="s">
        <v>98</v>
      </c>
      <c r="AX24" t="s">
        <v>163</v>
      </c>
      <c r="BF24" t="s">
        <v>164</v>
      </c>
      <c r="BG24" t="s">
        <v>98</v>
      </c>
      <c r="BH24" t="s">
        <v>98</v>
      </c>
      <c r="BI24" t="s">
        <v>98</v>
      </c>
      <c r="BK24" t="s">
        <v>138</v>
      </c>
      <c r="CA24" t="s">
        <v>139</v>
      </c>
      <c r="CB24" t="s">
        <v>163</v>
      </c>
      <c r="CL24" t="s">
        <v>98</v>
      </c>
      <c r="CM24" t="s">
        <v>98</v>
      </c>
      <c r="CO24" s="1">
        <v>39728</v>
      </c>
      <c r="CP24" s="1">
        <v>43595</v>
      </c>
    </row>
    <row r="25" spans="1:94" x14ac:dyDescent="0.25">
      <c r="A25" s="4" t="s">
        <v>165</v>
      </c>
      <c r="B25" t="str">
        <f xml:space="preserve"> "" &amp; 706411044526</f>
        <v>706411044526</v>
      </c>
      <c r="C25" t="s">
        <v>134</v>
      </c>
      <c r="D25" t="s">
        <v>166</v>
      </c>
      <c r="F25" t="s">
        <v>135</v>
      </c>
      <c r="G25">
        <v>1</v>
      </c>
      <c r="H25">
        <v>1</v>
      </c>
      <c r="I25" t="s">
        <v>97</v>
      </c>
      <c r="J25" s="32">
        <v>6.5</v>
      </c>
      <c r="K25" s="32">
        <v>19.5</v>
      </c>
      <c r="L25">
        <v>0</v>
      </c>
      <c r="N25">
        <v>0</v>
      </c>
      <c r="S25">
        <v>2.37</v>
      </c>
      <c r="T25">
        <v>5.75</v>
      </c>
      <c r="U25">
        <v>5.12</v>
      </c>
      <c r="W25">
        <v>0.88</v>
      </c>
      <c r="X25">
        <v>1</v>
      </c>
      <c r="Y25">
        <v>3.25</v>
      </c>
      <c r="Z25">
        <v>5.75</v>
      </c>
      <c r="AA25">
        <v>5.75</v>
      </c>
      <c r="AB25">
        <v>6.2E-2</v>
      </c>
      <c r="AC25">
        <v>0.99</v>
      </c>
      <c r="AK25" t="s">
        <v>98</v>
      </c>
      <c r="AM25" t="s">
        <v>98</v>
      </c>
      <c r="AN25" t="s">
        <v>98</v>
      </c>
      <c r="AO25" t="s">
        <v>98</v>
      </c>
      <c r="AP25" t="s">
        <v>99</v>
      </c>
      <c r="AQ25" t="s">
        <v>102</v>
      </c>
      <c r="AV25" t="s">
        <v>98</v>
      </c>
      <c r="AX25" t="s">
        <v>167</v>
      </c>
      <c r="BF25" t="s">
        <v>168</v>
      </c>
      <c r="BG25" t="s">
        <v>98</v>
      </c>
      <c r="BH25" t="s">
        <v>98</v>
      </c>
      <c r="BI25" t="s">
        <v>98</v>
      </c>
      <c r="BK25" t="s">
        <v>138</v>
      </c>
      <c r="CB25" t="s">
        <v>167</v>
      </c>
      <c r="CL25" t="s">
        <v>98</v>
      </c>
      <c r="CM25" t="s">
        <v>98</v>
      </c>
      <c r="CN25" t="s">
        <v>156</v>
      </c>
      <c r="CP25" s="1">
        <v>43595</v>
      </c>
    </row>
    <row r="26" spans="1:94" x14ac:dyDescent="0.25">
      <c r="A26" s="4" t="s">
        <v>169</v>
      </c>
      <c r="B26" t="str">
        <f xml:space="preserve"> "" &amp; 706411043567</f>
        <v>706411043567</v>
      </c>
      <c r="C26" t="s">
        <v>134</v>
      </c>
      <c r="D26" t="s">
        <v>170</v>
      </c>
      <c r="F26" t="s">
        <v>135</v>
      </c>
      <c r="G26">
        <v>1</v>
      </c>
      <c r="H26">
        <v>1</v>
      </c>
      <c r="I26" t="s">
        <v>97</v>
      </c>
      <c r="J26" s="32">
        <v>7.5</v>
      </c>
      <c r="K26" s="32">
        <v>22.5</v>
      </c>
      <c r="L26">
        <v>0</v>
      </c>
      <c r="N26">
        <v>0</v>
      </c>
      <c r="S26">
        <v>2.37</v>
      </c>
      <c r="T26">
        <v>5.75</v>
      </c>
      <c r="U26">
        <v>5.12</v>
      </c>
      <c r="W26">
        <v>0.88</v>
      </c>
      <c r="X26">
        <v>1</v>
      </c>
      <c r="Y26">
        <v>3.25</v>
      </c>
      <c r="Z26">
        <v>5.75</v>
      </c>
      <c r="AA26">
        <v>5.75</v>
      </c>
      <c r="AB26">
        <v>6.2E-2</v>
      </c>
      <c r="AC26">
        <v>0.99</v>
      </c>
      <c r="AK26" t="s">
        <v>98</v>
      </c>
      <c r="AM26" t="s">
        <v>98</v>
      </c>
      <c r="AN26" t="s">
        <v>98</v>
      </c>
      <c r="AO26" t="s">
        <v>98</v>
      </c>
      <c r="AP26" t="s">
        <v>99</v>
      </c>
      <c r="AQ26" t="s">
        <v>102</v>
      </c>
      <c r="AV26" t="s">
        <v>98</v>
      </c>
      <c r="AX26" t="s">
        <v>171</v>
      </c>
      <c r="BF26" t="s">
        <v>172</v>
      </c>
      <c r="BG26" t="s">
        <v>98</v>
      </c>
      <c r="BH26" t="s">
        <v>98</v>
      </c>
      <c r="BI26" t="s">
        <v>98</v>
      </c>
      <c r="CB26" t="s">
        <v>171</v>
      </c>
      <c r="CL26" t="s">
        <v>98</v>
      </c>
      <c r="CM26" t="s">
        <v>98</v>
      </c>
      <c r="CP26" s="1">
        <v>43595</v>
      </c>
    </row>
    <row r="27" spans="1:94" x14ac:dyDescent="0.25">
      <c r="A27" s="4" t="s">
        <v>173</v>
      </c>
      <c r="B27" t="str">
        <f xml:space="preserve"> "" &amp; 706411035074</f>
        <v>706411035074</v>
      </c>
      <c r="C27" t="s">
        <v>134</v>
      </c>
      <c r="D27" t="s">
        <v>174</v>
      </c>
      <c r="F27" t="s">
        <v>135</v>
      </c>
      <c r="G27">
        <v>1</v>
      </c>
      <c r="H27">
        <v>1</v>
      </c>
      <c r="I27" t="s">
        <v>97</v>
      </c>
      <c r="J27" s="32">
        <v>7.5</v>
      </c>
      <c r="K27" s="32">
        <v>22.5</v>
      </c>
      <c r="L27">
        <v>0</v>
      </c>
      <c r="N27">
        <v>0</v>
      </c>
      <c r="S27">
        <v>2.37</v>
      </c>
      <c r="T27">
        <v>5.75</v>
      </c>
      <c r="U27">
        <v>5.12</v>
      </c>
      <c r="W27">
        <v>0.79</v>
      </c>
      <c r="X27">
        <v>1</v>
      </c>
      <c r="Y27">
        <v>3.25</v>
      </c>
      <c r="Z27">
        <v>5.75</v>
      </c>
      <c r="AA27">
        <v>5.75</v>
      </c>
      <c r="AB27">
        <v>6.2E-2</v>
      </c>
      <c r="AC27">
        <v>0.97</v>
      </c>
      <c r="AK27" t="s">
        <v>98</v>
      </c>
      <c r="AM27" t="s">
        <v>98</v>
      </c>
      <c r="AN27" t="s">
        <v>98</v>
      </c>
      <c r="AO27" t="s">
        <v>98</v>
      </c>
      <c r="AP27" t="s">
        <v>99</v>
      </c>
      <c r="AQ27" t="s">
        <v>102</v>
      </c>
      <c r="AV27" t="s">
        <v>98</v>
      </c>
      <c r="AX27" t="s">
        <v>175</v>
      </c>
      <c r="BF27" t="s">
        <v>176</v>
      </c>
      <c r="BG27" t="s">
        <v>98</v>
      </c>
      <c r="BH27" t="s">
        <v>98</v>
      </c>
      <c r="BI27" t="s">
        <v>98</v>
      </c>
      <c r="BK27" t="s">
        <v>138</v>
      </c>
      <c r="CA27" t="s">
        <v>139</v>
      </c>
      <c r="CB27" t="s">
        <v>175</v>
      </c>
      <c r="CL27" t="s">
        <v>98</v>
      </c>
      <c r="CM27" t="s">
        <v>98</v>
      </c>
      <c r="CO27" s="1">
        <v>39728</v>
      </c>
      <c r="CP27" s="1">
        <v>43595</v>
      </c>
    </row>
    <row r="28" spans="1:94" x14ac:dyDescent="0.25">
      <c r="A28" s="4" t="s">
        <v>177</v>
      </c>
      <c r="B28" t="str">
        <f xml:space="preserve"> "" &amp; 706411061080</f>
        <v>706411061080</v>
      </c>
      <c r="C28" t="s">
        <v>134</v>
      </c>
      <c r="D28" t="s">
        <v>178</v>
      </c>
      <c r="F28" t="s">
        <v>135</v>
      </c>
      <c r="G28">
        <v>1</v>
      </c>
      <c r="H28">
        <v>1</v>
      </c>
      <c r="I28" t="s">
        <v>97</v>
      </c>
      <c r="J28" s="32">
        <v>6.5</v>
      </c>
      <c r="K28" s="32">
        <v>19.5</v>
      </c>
      <c r="L28">
        <v>0</v>
      </c>
      <c r="N28">
        <v>0</v>
      </c>
      <c r="S28">
        <v>2.37</v>
      </c>
      <c r="T28">
        <v>5.75</v>
      </c>
      <c r="U28">
        <v>5.12</v>
      </c>
      <c r="W28">
        <v>0.88</v>
      </c>
      <c r="X28">
        <v>1</v>
      </c>
      <c r="Y28">
        <v>3.25</v>
      </c>
      <c r="Z28">
        <v>5.75</v>
      </c>
      <c r="AA28">
        <v>5.75</v>
      </c>
      <c r="AB28">
        <v>6.2E-2</v>
      </c>
      <c r="AC28">
        <v>0.99</v>
      </c>
      <c r="AK28" t="s">
        <v>98</v>
      </c>
      <c r="AM28" t="s">
        <v>98</v>
      </c>
      <c r="AN28" t="s">
        <v>98</v>
      </c>
      <c r="AO28" t="s">
        <v>98</v>
      </c>
      <c r="AP28" t="s">
        <v>99</v>
      </c>
      <c r="AQ28" t="s">
        <v>102</v>
      </c>
      <c r="AV28" t="s">
        <v>98</v>
      </c>
      <c r="AX28" t="s">
        <v>179</v>
      </c>
      <c r="BF28" t="s">
        <v>180</v>
      </c>
      <c r="BG28" t="s">
        <v>98</v>
      </c>
      <c r="BH28" t="s">
        <v>98</v>
      </c>
      <c r="BI28" t="s">
        <v>98</v>
      </c>
      <c r="CB28" t="s">
        <v>179</v>
      </c>
      <c r="CL28" t="s">
        <v>98</v>
      </c>
      <c r="CM28" t="s">
        <v>98</v>
      </c>
      <c r="CN28" t="s">
        <v>156</v>
      </c>
      <c r="CO28" s="1">
        <v>43396</v>
      </c>
      <c r="CP28" s="1">
        <v>43595</v>
      </c>
    </row>
    <row r="29" spans="1:94" x14ac:dyDescent="0.25">
      <c r="A29" s="4" t="s">
        <v>181</v>
      </c>
      <c r="B29" t="str">
        <f xml:space="preserve"> "" &amp; 706411034800</f>
        <v>706411034800</v>
      </c>
      <c r="C29" t="s">
        <v>134</v>
      </c>
      <c r="D29" t="s">
        <v>182</v>
      </c>
      <c r="F29" t="s">
        <v>135</v>
      </c>
      <c r="G29">
        <v>1</v>
      </c>
      <c r="H29">
        <v>1</v>
      </c>
      <c r="I29" t="s">
        <v>97</v>
      </c>
      <c r="J29" s="32">
        <v>7.5</v>
      </c>
      <c r="K29" s="32">
        <v>22.5</v>
      </c>
      <c r="L29">
        <v>0</v>
      </c>
      <c r="N29">
        <v>0</v>
      </c>
      <c r="S29">
        <v>2.37</v>
      </c>
      <c r="T29">
        <v>5.75</v>
      </c>
      <c r="U29">
        <v>5.12</v>
      </c>
      <c r="W29">
        <v>0.79</v>
      </c>
      <c r="X29">
        <v>1</v>
      </c>
      <c r="Y29">
        <v>3.25</v>
      </c>
      <c r="Z29">
        <v>5.75</v>
      </c>
      <c r="AA29">
        <v>5.75</v>
      </c>
      <c r="AB29">
        <v>6.2E-2</v>
      </c>
      <c r="AC29">
        <v>0.97</v>
      </c>
      <c r="AK29" t="s">
        <v>98</v>
      </c>
      <c r="AM29" t="s">
        <v>98</v>
      </c>
      <c r="AN29" t="s">
        <v>98</v>
      </c>
      <c r="AO29" t="s">
        <v>98</v>
      </c>
      <c r="AP29" t="s">
        <v>99</v>
      </c>
      <c r="AQ29" t="s">
        <v>102</v>
      </c>
      <c r="AV29" t="s">
        <v>98</v>
      </c>
      <c r="AX29" t="s">
        <v>183</v>
      </c>
      <c r="BF29" t="s">
        <v>184</v>
      </c>
      <c r="BG29" t="s">
        <v>98</v>
      </c>
      <c r="BH29" t="s">
        <v>98</v>
      </c>
      <c r="BI29" t="s">
        <v>98</v>
      </c>
      <c r="BK29" t="s">
        <v>138</v>
      </c>
      <c r="CA29" t="s">
        <v>139</v>
      </c>
      <c r="CB29" t="s">
        <v>183</v>
      </c>
      <c r="CL29" t="s">
        <v>98</v>
      </c>
      <c r="CM29" t="s">
        <v>98</v>
      </c>
      <c r="CO29" s="1">
        <v>39728</v>
      </c>
      <c r="CP29" s="1">
        <v>43595</v>
      </c>
    </row>
    <row r="30" spans="1:94" x14ac:dyDescent="0.25">
      <c r="A30" s="4" t="s">
        <v>185</v>
      </c>
      <c r="B30" t="str">
        <f xml:space="preserve"> "" &amp; 706411031441</f>
        <v>706411031441</v>
      </c>
      <c r="C30" t="s">
        <v>134</v>
      </c>
      <c r="D30" t="s">
        <v>4484</v>
      </c>
      <c r="F30" t="s">
        <v>135</v>
      </c>
      <c r="G30">
        <v>1</v>
      </c>
      <c r="H30">
        <v>1</v>
      </c>
      <c r="I30" t="s">
        <v>97</v>
      </c>
      <c r="J30" s="32">
        <v>7.5</v>
      </c>
      <c r="K30" s="32">
        <v>22.5</v>
      </c>
      <c r="L30">
        <v>0</v>
      </c>
      <c r="N30">
        <v>0</v>
      </c>
      <c r="S30">
        <v>2.37</v>
      </c>
      <c r="T30">
        <v>5.75</v>
      </c>
      <c r="U30">
        <v>5.12</v>
      </c>
      <c r="W30">
        <v>0.79</v>
      </c>
      <c r="X30">
        <v>1</v>
      </c>
      <c r="Y30">
        <v>3.25</v>
      </c>
      <c r="Z30">
        <v>5.75</v>
      </c>
      <c r="AA30">
        <v>5.75</v>
      </c>
      <c r="AB30">
        <v>6.2E-2</v>
      </c>
      <c r="AC30">
        <v>0.97</v>
      </c>
      <c r="AK30" t="s">
        <v>98</v>
      </c>
      <c r="AM30" t="s">
        <v>98</v>
      </c>
      <c r="AN30" t="s">
        <v>98</v>
      </c>
      <c r="AO30" t="s">
        <v>98</v>
      </c>
      <c r="AP30" t="s">
        <v>99</v>
      </c>
      <c r="AQ30" t="s">
        <v>102</v>
      </c>
      <c r="AV30" t="s">
        <v>98</v>
      </c>
      <c r="AX30" t="s">
        <v>186</v>
      </c>
      <c r="BF30" t="s">
        <v>187</v>
      </c>
      <c r="BG30" t="s">
        <v>98</v>
      </c>
      <c r="BH30" t="s">
        <v>98</v>
      </c>
      <c r="BI30" t="s">
        <v>98</v>
      </c>
      <c r="BK30" t="s">
        <v>138</v>
      </c>
      <c r="CA30" t="s">
        <v>139</v>
      </c>
      <c r="CB30" t="s">
        <v>186</v>
      </c>
      <c r="CL30" t="s">
        <v>98</v>
      </c>
      <c r="CM30" t="s">
        <v>98</v>
      </c>
      <c r="CO30" s="1">
        <v>38545</v>
      </c>
      <c r="CP30" s="1">
        <v>43595</v>
      </c>
    </row>
    <row r="31" spans="1:94" x14ac:dyDescent="0.25">
      <c r="A31" s="4" t="s">
        <v>188</v>
      </c>
      <c r="B31" t="str">
        <f xml:space="preserve"> "" &amp; 706411038723</f>
        <v>706411038723</v>
      </c>
      <c r="C31" t="s">
        <v>134</v>
      </c>
      <c r="D31" t="s">
        <v>189</v>
      </c>
      <c r="F31" t="s">
        <v>135</v>
      </c>
      <c r="G31">
        <v>1</v>
      </c>
      <c r="H31">
        <v>1</v>
      </c>
      <c r="I31" t="s">
        <v>97</v>
      </c>
      <c r="J31" s="32">
        <v>7.5</v>
      </c>
      <c r="K31" s="32">
        <v>22.5</v>
      </c>
      <c r="L31">
        <v>0</v>
      </c>
      <c r="N31">
        <v>0</v>
      </c>
      <c r="S31">
        <v>2.37</v>
      </c>
      <c r="T31">
        <v>5.75</v>
      </c>
      <c r="U31">
        <v>5.12</v>
      </c>
      <c r="W31">
        <v>0.79</v>
      </c>
      <c r="X31">
        <v>1</v>
      </c>
      <c r="Y31">
        <v>3.25</v>
      </c>
      <c r="Z31">
        <v>5.75</v>
      </c>
      <c r="AA31">
        <v>5.75</v>
      </c>
      <c r="AB31">
        <v>6.2E-2</v>
      </c>
      <c r="AC31">
        <v>0.97</v>
      </c>
      <c r="AK31" t="s">
        <v>98</v>
      </c>
      <c r="AM31" t="s">
        <v>98</v>
      </c>
      <c r="AN31" t="s">
        <v>98</v>
      </c>
      <c r="AO31" t="s">
        <v>98</v>
      </c>
      <c r="AP31" t="s">
        <v>99</v>
      </c>
      <c r="AQ31" t="s">
        <v>102</v>
      </c>
      <c r="AV31" t="s">
        <v>98</v>
      </c>
      <c r="AX31" t="s">
        <v>190</v>
      </c>
      <c r="BF31" t="s">
        <v>191</v>
      </c>
      <c r="BG31" t="s">
        <v>98</v>
      </c>
      <c r="BH31" t="s">
        <v>98</v>
      </c>
      <c r="BI31" t="s">
        <v>98</v>
      </c>
      <c r="BK31" t="s">
        <v>138</v>
      </c>
      <c r="CA31" t="s">
        <v>139</v>
      </c>
      <c r="CB31" t="s">
        <v>190</v>
      </c>
      <c r="CL31" t="s">
        <v>98</v>
      </c>
      <c r="CM31" t="s">
        <v>98</v>
      </c>
      <c r="CO31" s="1">
        <v>40239</v>
      </c>
      <c r="CP31" s="1">
        <v>43595</v>
      </c>
    </row>
    <row r="32" spans="1:94" x14ac:dyDescent="0.25">
      <c r="A32" s="4" t="s">
        <v>192</v>
      </c>
      <c r="B32" t="str">
        <f xml:space="preserve"> "" &amp; 706411027062</f>
        <v>706411027062</v>
      </c>
      <c r="C32" t="s">
        <v>134</v>
      </c>
      <c r="D32" t="s">
        <v>4485</v>
      </c>
      <c r="F32" t="s">
        <v>135</v>
      </c>
      <c r="G32">
        <v>1</v>
      </c>
      <c r="H32">
        <v>1</v>
      </c>
      <c r="I32" t="s">
        <v>97</v>
      </c>
      <c r="J32" s="32">
        <v>7.5</v>
      </c>
      <c r="K32" s="32">
        <v>22.5</v>
      </c>
      <c r="L32">
        <v>0</v>
      </c>
      <c r="N32">
        <v>0</v>
      </c>
      <c r="S32">
        <v>2.37</v>
      </c>
      <c r="T32">
        <v>5.75</v>
      </c>
      <c r="U32">
        <v>5.12</v>
      </c>
      <c r="W32">
        <v>0.88</v>
      </c>
      <c r="X32">
        <v>1</v>
      </c>
      <c r="Y32">
        <v>3.25</v>
      </c>
      <c r="Z32">
        <v>5.75</v>
      </c>
      <c r="AA32">
        <v>5.75</v>
      </c>
      <c r="AB32">
        <v>6.2E-2</v>
      </c>
      <c r="AC32">
        <v>0.99</v>
      </c>
      <c r="AK32" t="s">
        <v>98</v>
      </c>
      <c r="AM32" t="s">
        <v>98</v>
      </c>
      <c r="AN32" t="s">
        <v>98</v>
      </c>
      <c r="AO32" t="s">
        <v>98</v>
      </c>
      <c r="AP32" t="s">
        <v>99</v>
      </c>
      <c r="AQ32" t="s">
        <v>102</v>
      </c>
      <c r="AV32" t="s">
        <v>98</v>
      </c>
      <c r="AX32" t="s">
        <v>193</v>
      </c>
      <c r="BF32" t="s">
        <v>194</v>
      </c>
      <c r="BG32" t="s">
        <v>98</v>
      </c>
      <c r="BH32" t="s">
        <v>98</v>
      </c>
      <c r="BI32" t="s">
        <v>98</v>
      </c>
      <c r="CB32" t="s">
        <v>193</v>
      </c>
      <c r="CL32" t="s">
        <v>98</v>
      </c>
      <c r="CM32" t="s">
        <v>98</v>
      </c>
      <c r="CP32" s="1">
        <v>43595</v>
      </c>
    </row>
    <row r="33" spans="1:94" x14ac:dyDescent="0.25">
      <c r="A33" s="4" t="s">
        <v>195</v>
      </c>
      <c r="B33" t="str">
        <f xml:space="preserve"> "" &amp; 706411052262</f>
        <v>706411052262</v>
      </c>
      <c r="C33" t="s">
        <v>134</v>
      </c>
      <c r="D33" t="s">
        <v>196</v>
      </c>
      <c r="F33" t="s">
        <v>135</v>
      </c>
      <c r="G33">
        <v>1</v>
      </c>
      <c r="H33">
        <v>1</v>
      </c>
      <c r="I33" t="s">
        <v>97</v>
      </c>
      <c r="J33" s="32">
        <v>7.5</v>
      </c>
      <c r="K33" s="32">
        <v>22.5</v>
      </c>
      <c r="L33">
        <v>0</v>
      </c>
      <c r="N33">
        <v>0</v>
      </c>
      <c r="S33">
        <v>2.37</v>
      </c>
      <c r="T33">
        <v>5.75</v>
      </c>
      <c r="U33">
        <v>5.12</v>
      </c>
      <c r="W33">
        <v>0.88</v>
      </c>
      <c r="X33">
        <v>1</v>
      </c>
      <c r="Y33">
        <v>3.25</v>
      </c>
      <c r="Z33">
        <v>5.75</v>
      </c>
      <c r="AA33">
        <v>5.75</v>
      </c>
      <c r="AB33">
        <v>6.2E-2</v>
      </c>
      <c r="AC33">
        <v>0.99</v>
      </c>
      <c r="AK33" t="s">
        <v>98</v>
      </c>
      <c r="AM33" t="s">
        <v>98</v>
      </c>
      <c r="AN33" t="s">
        <v>98</v>
      </c>
      <c r="AO33" t="s">
        <v>98</v>
      </c>
      <c r="AP33" t="s">
        <v>99</v>
      </c>
      <c r="AQ33" t="s">
        <v>102</v>
      </c>
      <c r="AV33" t="s">
        <v>98</v>
      </c>
      <c r="AX33" t="s">
        <v>197</v>
      </c>
      <c r="BF33" t="s">
        <v>198</v>
      </c>
      <c r="BG33" t="s">
        <v>98</v>
      </c>
      <c r="BH33" t="s">
        <v>98</v>
      </c>
      <c r="BI33" t="s">
        <v>98</v>
      </c>
      <c r="CB33" t="s">
        <v>197</v>
      </c>
      <c r="CL33" t="s">
        <v>98</v>
      </c>
      <c r="CM33" t="s">
        <v>98</v>
      </c>
      <c r="CP33" s="1">
        <v>43595</v>
      </c>
    </row>
    <row r="34" spans="1:94" x14ac:dyDescent="0.25">
      <c r="A34" s="4" t="s">
        <v>199</v>
      </c>
      <c r="B34" t="str">
        <f xml:space="preserve"> "" &amp; 706411038730</f>
        <v>706411038730</v>
      </c>
      <c r="C34" t="s">
        <v>134</v>
      </c>
      <c r="D34" t="s">
        <v>200</v>
      </c>
      <c r="F34" t="s">
        <v>135</v>
      </c>
      <c r="G34">
        <v>1</v>
      </c>
      <c r="H34">
        <v>1</v>
      </c>
      <c r="I34" t="s">
        <v>97</v>
      </c>
      <c r="J34" s="32">
        <v>7.5</v>
      </c>
      <c r="K34" s="32">
        <v>22.5</v>
      </c>
      <c r="L34">
        <v>0</v>
      </c>
      <c r="N34">
        <v>0</v>
      </c>
      <c r="S34">
        <v>2.37</v>
      </c>
      <c r="T34">
        <v>5.75</v>
      </c>
      <c r="U34">
        <v>5.12</v>
      </c>
      <c r="W34">
        <v>0.79</v>
      </c>
      <c r="X34">
        <v>1</v>
      </c>
      <c r="Y34">
        <v>3.25</v>
      </c>
      <c r="Z34">
        <v>5.75</v>
      </c>
      <c r="AA34">
        <v>5.75</v>
      </c>
      <c r="AB34">
        <v>6.2E-2</v>
      </c>
      <c r="AC34">
        <v>0.97</v>
      </c>
      <c r="AK34" t="s">
        <v>98</v>
      </c>
      <c r="AM34" t="s">
        <v>98</v>
      </c>
      <c r="AN34" t="s">
        <v>98</v>
      </c>
      <c r="AO34" t="s">
        <v>98</v>
      </c>
      <c r="AP34" t="s">
        <v>99</v>
      </c>
      <c r="AQ34" t="s">
        <v>102</v>
      </c>
      <c r="AV34" t="s">
        <v>98</v>
      </c>
      <c r="AX34" t="s">
        <v>201</v>
      </c>
      <c r="BF34" t="s">
        <v>202</v>
      </c>
      <c r="BG34" t="s">
        <v>98</v>
      </c>
      <c r="BH34" t="s">
        <v>98</v>
      </c>
      <c r="BI34" t="s">
        <v>98</v>
      </c>
      <c r="BK34" t="s">
        <v>138</v>
      </c>
      <c r="CA34" t="s">
        <v>139</v>
      </c>
      <c r="CB34" t="s">
        <v>201</v>
      </c>
      <c r="CL34" t="s">
        <v>98</v>
      </c>
      <c r="CM34" t="s">
        <v>98</v>
      </c>
      <c r="CO34" s="1">
        <v>40239</v>
      </c>
      <c r="CP34" s="1">
        <v>43595</v>
      </c>
    </row>
    <row r="35" spans="1:94" x14ac:dyDescent="0.25">
      <c r="A35" s="4" t="s">
        <v>203</v>
      </c>
      <c r="B35" t="str">
        <f xml:space="preserve"> "" &amp; 706411042973</f>
        <v>706411042973</v>
      </c>
      <c r="C35" t="s">
        <v>134</v>
      </c>
      <c r="D35" t="s">
        <v>204</v>
      </c>
      <c r="F35" t="s">
        <v>135</v>
      </c>
      <c r="G35">
        <v>1</v>
      </c>
      <c r="H35">
        <v>1</v>
      </c>
      <c r="I35" t="s">
        <v>97</v>
      </c>
      <c r="J35" s="32">
        <v>7.5</v>
      </c>
      <c r="K35" s="32">
        <v>22.5</v>
      </c>
      <c r="L35">
        <v>0</v>
      </c>
      <c r="N35">
        <v>0</v>
      </c>
      <c r="S35">
        <v>2.37</v>
      </c>
      <c r="T35">
        <v>5.75</v>
      </c>
      <c r="U35">
        <v>5.12</v>
      </c>
      <c r="W35">
        <v>0.88</v>
      </c>
      <c r="X35">
        <v>1</v>
      </c>
      <c r="Y35">
        <v>3.25</v>
      </c>
      <c r="Z35">
        <v>5.75</v>
      </c>
      <c r="AA35">
        <v>5.75</v>
      </c>
      <c r="AB35">
        <v>6.2E-2</v>
      </c>
      <c r="AC35">
        <v>0.99</v>
      </c>
      <c r="AK35" t="s">
        <v>98</v>
      </c>
      <c r="AM35" t="s">
        <v>98</v>
      </c>
      <c r="AN35" t="s">
        <v>98</v>
      </c>
      <c r="AO35" t="s">
        <v>98</v>
      </c>
      <c r="AP35" t="s">
        <v>99</v>
      </c>
      <c r="AQ35" t="s">
        <v>102</v>
      </c>
      <c r="AV35" t="s">
        <v>98</v>
      </c>
      <c r="AX35" t="s">
        <v>205</v>
      </c>
      <c r="BF35" t="s">
        <v>206</v>
      </c>
      <c r="BG35" t="s">
        <v>98</v>
      </c>
      <c r="BH35" t="s">
        <v>98</v>
      </c>
      <c r="BI35" t="s">
        <v>98</v>
      </c>
      <c r="CB35" t="s">
        <v>205</v>
      </c>
      <c r="CL35" t="s">
        <v>98</v>
      </c>
      <c r="CM35" t="s">
        <v>98</v>
      </c>
      <c r="CP35" s="1">
        <v>43595</v>
      </c>
    </row>
    <row r="36" spans="1:94" x14ac:dyDescent="0.25">
      <c r="A36" s="4" t="s">
        <v>207</v>
      </c>
      <c r="B36" t="str">
        <f xml:space="preserve"> "" &amp; 706411056703</f>
        <v>706411056703</v>
      </c>
      <c r="C36" t="s">
        <v>134</v>
      </c>
      <c r="D36" t="s">
        <v>208</v>
      </c>
      <c r="F36" t="s">
        <v>135</v>
      </c>
      <c r="G36">
        <v>1</v>
      </c>
      <c r="H36">
        <v>1</v>
      </c>
      <c r="I36" t="s">
        <v>97</v>
      </c>
      <c r="J36" s="32">
        <v>7.5</v>
      </c>
      <c r="K36" s="32">
        <v>22.5</v>
      </c>
      <c r="L36">
        <v>0</v>
      </c>
      <c r="N36">
        <v>0</v>
      </c>
      <c r="S36">
        <v>2.37</v>
      </c>
      <c r="T36">
        <v>5.75</v>
      </c>
      <c r="U36">
        <v>5.12</v>
      </c>
      <c r="W36">
        <v>0.88</v>
      </c>
      <c r="X36">
        <v>1</v>
      </c>
      <c r="Y36">
        <v>3.25</v>
      </c>
      <c r="Z36">
        <v>5.75</v>
      </c>
      <c r="AA36">
        <v>5.75</v>
      </c>
      <c r="AB36">
        <v>6.2E-2</v>
      </c>
      <c r="AC36">
        <v>0.99</v>
      </c>
      <c r="AK36" t="s">
        <v>98</v>
      </c>
      <c r="AM36" t="s">
        <v>98</v>
      </c>
      <c r="AN36" t="s">
        <v>98</v>
      </c>
      <c r="AO36" t="s">
        <v>98</v>
      </c>
      <c r="AP36" t="s">
        <v>99</v>
      </c>
      <c r="AQ36" t="s">
        <v>102</v>
      </c>
      <c r="AV36" t="s">
        <v>98</v>
      </c>
      <c r="AX36" t="s">
        <v>209</v>
      </c>
      <c r="BF36" t="s">
        <v>210</v>
      </c>
      <c r="BG36" t="s">
        <v>98</v>
      </c>
      <c r="BH36" t="s">
        <v>98</v>
      </c>
      <c r="BI36" t="s">
        <v>98</v>
      </c>
      <c r="BK36" t="s">
        <v>138</v>
      </c>
      <c r="CA36" t="s">
        <v>139</v>
      </c>
      <c r="CB36" t="s">
        <v>209</v>
      </c>
      <c r="CL36" t="s">
        <v>98</v>
      </c>
      <c r="CM36" t="s">
        <v>98</v>
      </c>
      <c r="CN36" t="s">
        <v>156</v>
      </c>
      <c r="CO36" s="1">
        <v>42858</v>
      </c>
      <c r="CP36" s="1">
        <v>43595</v>
      </c>
    </row>
    <row r="37" spans="1:94" x14ac:dyDescent="0.25">
      <c r="A37" s="4" t="s">
        <v>211</v>
      </c>
      <c r="B37" t="str">
        <f xml:space="preserve"> "" &amp; 706411018985</f>
        <v>706411018985</v>
      </c>
      <c r="C37" t="s">
        <v>134</v>
      </c>
      <c r="D37" t="s">
        <v>4486</v>
      </c>
      <c r="F37" t="s">
        <v>135</v>
      </c>
      <c r="G37">
        <v>1</v>
      </c>
      <c r="H37">
        <v>1</v>
      </c>
      <c r="I37" t="s">
        <v>97</v>
      </c>
      <c r="J37" s="32">
        <v>7.5</v>
      </c>
      <c r="K37" s="32">
        <v>22.5</v>
      </c>
      <c r="L37">
        <v>0</v>
      </c>
      <c r="N37">
        <v>0</v>
      </c>
      <c r="S37">
        <v>2.37</v>
      </c>
      <c r="T37">
        <v>5.75</v>
      </c>
      <c r="U37">
        <v>5.12</v>
      </c>
      <c r="W37">
        <v>0.79</v>
      </c>
      <c r="X37">
        <v>1</v>
      </c>
      <c r="Y37">
        <v>3.25</v>
      </c>
      <c r="Z37">
        <v>5.75</v>
      </c>
      <c r="AA37">
        <v>5.75</v>
      </c>
      <c r="AB37">
        <v>6.2E-2</v>
      </c>
      <c r="AC37">
        <v>0.97</v>
      </c>
      <c r="AK37" t="s">
        <v>98</v>
      </c>
      <c r="AM37" t="s">
        <v>98</v>
      </c>
      <c r="AN37" t="s">
        <v>98</v>
      </c>
      <c r="AO37" t="s">
        <v>98</v>
      </c>
      <c r="AP37" t="s">
        <v>99</v>
      </c>
      <c r="AQ37" t="s">
        <v>102</v>
      </c>
      <c r="AV37" t="s">
        <v>98</v>
      </c>
      <c r="AX37" t="s">
        <v>212</v>
      </c>
      <c r="BF37" t="s">
        <v>213</v>
      </c>
      <c r="BG37" t="s">
        <v>98</v>
      </c>
      <c r="BH37" t="s">
        <v>98</v>
      </c>
      <c r="BI37" t="s">
        <v>98</v>
      </c>
      <c r="BK37" t="s">
        <v>138</v>
      </c>
      <c r="CA37" t="s">
        <v>139</v>
      </c>
      <c r="CB37" t="s">
        <v>212</v>
      </c>
      <c r="CL37" t="s">
        <v>98</v>
      </c>
      <c r="CM37" t="s">
        <v>98</v>
      </c>
      <c r="CO37" s="1">
        <v>38545</v>
      </c>
      <c r="CP37" s="1">
        <v>43595</v>
      </c>
    </row>
    <row r="38" spans="1:94" x14ac:dyDescent="0.25">
      <c r="A38" s="4" t="s">
        <v>214</v>
      </c>
      <c r="B38" t="str">
        <f xml:space="preserve"> "" &amp; 706411034787</f>
        <v>706411034787</v>
      </c>
      <c r="C38" t="s">
        <v>134</v>
      </c>
      <c r="D38" t="s">
        <v>4487</v>
      </c>
      <c r="F38" t="s">
        <v>135</v>
      </c>
      <c r="G38">
        <v>1</v>
      </c>
      <c r="H38">
        <v>1</v>
      </c>
      <c r="I38" t="s">
        <v>97</v>
      </c>
      <c r="J38" s="32">
        <v>7.5</v>
      </c>
      <c r="K38" s="32">
        <v>22.5</v>
      </c>
      <c r="L38">
        <v>0</v>
      </c>
      <c r="N38">
        <v>0</v>
      </c>
      <c r="S38">
        <v>2.37</v>
      </c>
      <c r="T38">
        <v>5.75</v>
      </c>
      <c r="U38">
        <v>5.12</v>
      </c>
      <c r="W38">
        <v>0.79</v>
      </c>
      <c r="X38">
        <v>1</v>
      </c>
      <c r="Y38">
        <v>3.25</v>
      </c>
      <c r="Z38">
        <v>5.75</v>
      </c>
      <c r="AA38">
        <v>5.75</v>
      </c>
      <c r="AB38">
        <v>6.2E-2</v>
      </c>
      <c r="AC38">
        <v>0.97</v>
      </c>
      <c r="AK38" t="s">
        <v>98</v>
      </c>
      <c r="AM38" t="s">
        <v>98</v>
      </c>
      <c r="AN38" t="s">
        <v>98</v>
      </c>
      <c r="AO38" t="s">
        <v>98</v>
      </c>
      <c r="AP38" t="s">
        <v>99</v>
      </c>
      <c r="AQ38" t="s">
        <v>102</v>
      </c>
      <c r="AV38" t="s">
        <v>98</v>
      </c>
      <c r="AX38" t="s">
        <v>215</v>
      </c>
      <c r="BF38" t="s">
        <v>216</v>
      </c>
      <c r="BG38" t="s">
        <v>98</v>
      </c>
      <c r="BH38" t="s">
        <v>98</v>
      </c>
      <c r="BI38" t="s">
        <v>98</v>
      </c>
      <c r="BK38" t="s">
        <v>138</v>
      </c>
      <c r="CA38" t="s">
        <v>139</v>
      </c>
      <c r="CB38" t="s">
        <v>215</v>
      </c>
      <c r="CL38" t="s">
        <v>98</v>
      </c>
      <c r="CM38" t="s">
        <v>98</v>
      </c>
      <c r="CO38" s="1">
        <v>39728</v>
      </c>
      <c r="CP38" s="1">
        <v>43595</v>
      </c>
    </row>
    <row r="39" spans="1:94" x14ac:dyDescent="0.25">
      <c r="A39" s="4" t="s">
        <v>217</v>
      </c>
      <c r="B39" t="str">
        <f xml:space="preserve"> "" &amp; 706411042980</f>
        <v>706411042980</v>
      </c>
      <c r="C39" t="s">
        <v>134</v>
      </c>
      <c r="D39" t="s">
        <v>218</v>
      </c>
      <c r="F39" t="s">
        <v>135</v>
      </c>
      <c r="G39">
        <v>1</v>
      </c>
      <c r="H39">
        <v>1</v>
      </c>
      <c r="I39" t="s">
        <v>97</v>
      </c>
      <c r="J39" s="32">
        <v>7.5</v>
      </c>
      <c r="K39" s="32">
        <v>22.5</v>
      </c>
      <c r="L39">
        <v>0</v>
      </c>
      <c r="N39">
        <v>0</v>
      </c>
      <c r="S39">
        <v>2.37</v>
      </c>
      <c r="T39">
        <v>5.75</v>
      </c>
      <c r="U39">
        <v>5.12</v>
      </c>
      <c r="W39">
        <v>0.88</v>
      </c>
      <c r="X39">
        <v>1</v>
      </c>
      <c r="Y39">
        <v>3.25</v>
      </c>
      <c r="Z39">
        <v>5.75</v>
      </c>
      <c r="AA39">
        <v>5.75</v>
      </c>
      <c r="AB39">
        <v>6.2E-2</v>
      </c>
      <c r="AC39">
        <v>0.99</v>
      </c>
      <c r="AK39" t="s">
        <v>98</v>
      </c>
      <c r="AM39" t="s">
        <v>98</v>
      </c>
      <c r="AN39" t="s">
        <v>98</v>
      </c>
      <c r="AO39" t="s">
        <v>98</v>
      </c>
      <c r="AP39" t="s">
        <v>99</v>
      </c>
      <c r="AQ39" t="s">
        <v>102</v>
      </c>
      <c r="AV39" t="s">
        <v>98</v>
      </c>
      <c r="AX39" t="s">
        <v>219</v>
      </c>
      <c r="BF39" t="s">
        <v>220</v>
      </c>
      <c r="BG39" t="s">
        <v>98</v>
      </c>
      <c r="BH39" t="s">
        <v>98</v>
      </c>
      <c r="BI39" t="s">
        <v>98</v>
      </c>
      <c r="BK39" t="s">
        <v>138</v>
      </c>
      <c r="CB39" t="s">
        <v>219</v>
      </c>
      <c r="CL39" t="s">
        <v>98</v>
      </c>
      <c r="CM39" t="s">
        <v>98</v>
      </c>
      <c r="CN39" t="s">
        <v>156</v>
      </c>
      <c r="CP39" s="1">
        <v>43595</v>
      </c>
    </row>
    <row r="40" spans="1:94" x14ac:dyDescent="0.25">
      <c r="A40" s="4" t="s">
        <v>221</v>
      </c>
      <c r="B40" t="str">
        <f xml:space="preserve"> "" &amp; 706411033476</f>
        <v>706411033476</v>
      </c>
      <c r="C40" t="s">
        <v>134</v>
      </c>
      <c r="D40" t="s">
        <v>222</v>
      </c>
      <c r="F40" t="s">
        <v>135</v>
      </c>
      <c r="G40">
        <v>1</v>
      </c>
      <c r="H40">
        <v>1</v>
      </c>
      <c r="I40" t="s">
        <v>97</v>
      </c>
      <c r="J40" s="32">
        <v>10.95</v>
      </c>
      <c r="K40" s="32">
        <v>32.85</v>
      </c>
      <c r="L40">
        <v>0</v>
      </c>
      <c r="N40">
        <v>0</v>
      </c>
      <c r="S40">
        <v>2.37</v>
      </c>
      <c r="T40">
        <v>5.75</v>
      </c>
      <c r="U40">
        <v>5.12</v>
      </c>
      <c r="W40">
        <v>0.79</v>
      </c>
      <c r="X40">
        <v>1</v>
      </c>
      <c r="Y40">
        <v>3.25</v>
      </c>
      <c r="Z40">
        <v>5.75</v>
      </c>
      <c r="AA40">
        <v>5.75</v>
      </c>
      <c r="AB40">
        <v>6.2E-2</v>
      </c>
      <c r="AC40">
        <v>0.97</v>
      </c>
      <c r="AK40" t="s">
        <v>98</v>
      </c>
      <c r="AM40" t="s">
        <v>98</v>
      </c>
      <c r="AN40" t="s">
        <v>98</v>
      </c>
      <c r="AO40" t="s">
        <v>98</v>
      </c>
      <c r="AP40" t="s">
        <v>99</v>
      </c>
      <c r="AQ40" t="s">
        <v>102</v>
      </c>
      <c r="AV40" t="s">
        <v>98</v>
      </c>
      <c r="AX40" t="s">
        <v>223</v>
      </c>
      <c r="BF40" t="s">
        <v>224</v>
      </c>
      <c r="BG40" t="s">
        <v>98</v>
      </c>
      <c r="BH40" t="s">
        <v>98</v>
      </c>
      <c r="BI40" t="s">
        <v>98</v>
      </c>
      <c r="BK40" t="s">
        <v>138</v>
      </c>
      <c r="CA40" t="s">
        <v>139</v>
      </c>
      <c r="CB40" t="s">
        <v>223</v>
      </c>
      <c r="CL40" t="s">
        <v>98</v>
      </c>
      <c r="CM40" t="s">
        <v>98</v>
      </c>
      <c r="CO40" s="1">
        <v>39728</v>
      </c>
      <c r="CP40" s="1">
        <v>43595</v>
      </c>
    </row>
    <row r="41" spans="1:94" x14ac:dyDescent="0.25">
      <c r="A41" s="4" t="s">
        <v>225</v>
      </c>
      <c r="B41" t="str">
        <f xml:space="preserve"> "" &amp; 706411038754</f>
        <v>706411038754</v>
      </c>
      <c r="C41" t="s">
        <v>134</v>
      </c>
      <c r="D41" t="s">
        <v>226</v>
      </c>
      <c r="F41" t="s">
        <v>135</v>
      </c>
      <c r="G41">
        <v>1</v>
      </c>
      <c r="H41">
        <v>1</v>
      </c>
      <c r="I41" t="s">
        <v>97</v>
      </c>
      <c r="J41" s="32">
        <v>7.5</v>
      </c>
      <c r="K41" s="32">
        <v>22.5</v>
      </c>
      <c r="L41">
        <v>0</v>
      </c>
      <c r="N41">
        <v>0</v>
      </c>
      <c r="S41">
        <v>2.37</v>
      </c>
      <c r="T41">
        <v>5.75</v>
      </c>
      <c r="U41">
        <v>5.12</v>
      </c>
      <c r="W41">
        <v>0.79</v>
      </c>
      <c r="X41">
        <v>1</v>
      </c>
      <c r="Y41">
        <v>3.25</v>
      </c>
      <c r="Z41">
        <v>5.75</v>
      </c>
      <c r="AA41">
        <v>5.75</v>
      </c>
      <c r="AB41">
        <v>6.2E-2</v>
      </c>
      <c r="AC41">
        <v>0.97</v>
      </c>
      <c r="AK41" t="s">
        <v>98</v>
      </c>
      <c r="AM41" t="s">
        <v>98</v>
      </c>
      <c r="AN41" t="s">
        <v>98</v>
      </c>
      <c r="AO41" t="s">
        <v>98</v>
      </c>
      <c r="AP41" t="s">
        <v>99</v>
      </c>
      <c r="AQ41" t="s">
        <v>102</v>
      </c>
      <c r="AV41" t="s">
        <v>98</v>
      </c>
      <c r="AX41" t="s">
        <v>227</v>
      </c>
      <c r="BF41" t="s">
        <v>228</v>
      </c>
      <c r="BG41" t="s">
        <v>98</v>
      </c>
      <c r="BH41" t="s">
        <v>98</v>
      </c>
      <c r="BI41" t="s">
        <v>98</v>
      </c>
      <c r="BK41" t="s">
        <v>138</v>
      </c>
      <c r="CA41" t="s">
        <v>139</v>
      </c>
      <c r="CB41" t="s">
        <v>227</v>
      </c>
      <c r="CL41" t="s">
        <v>98</v>
      </c>
      <c r="CM41" t="s">
        <v>98</v>
      </c>
      <c r="CO41" s="1">
        <v>40239</v>
      </c>
      <c r="CP41" s="1">
        <v>43595</v>
      </c>
    </row>
    <row r="42" spans="1:94" x14ac:dyDescent="0.25">
      <c r="A42" s="4" t="s">
        <v>229</v>
      </c>
      <c r="B42" t="str">
        <f xml:space="preserve"> "" &amp; 706411027406</f>
        <v>706411027406</v>
      </c>
      <c r="C42" t="s">
        <v>134</v>
      </c>
      <c r="D42" t="s">
        <v>230</v>
      </c>
      <c r="F42" t="s">
        <v>135</v>
      </c>
      <c r="G42">
        <v>1</v>
      </c>
      <c r="H42">
        <v>1</v>
      </c>
      <c r="I42" t="s">
        <v>97</v>
      </c>
      <c r="J42" s="32">
        <v>7.5</v>
      </c>
      <c r="K42" s="32">
        <v>22.5</v>
      </c>
      <c r="L42">
        <v>0</v>
      </c>
      <c r="N42">
        <v>0</v>
      </c>
      <c r="S42">
        <v>2.37</v>
      </c>
      <c r="T42">
        <v>5.75</v>
      </c>
      <c r="U42">
        <v>5.12</v>
      </c>
      <c r="W42">
        <v>0.79</v>
      </c>
      <c r="X42">
        <v>1</v>
      </c>
      <c r="Y42">
        <v>3.25</v>
      </c>
      <c r="Z42">
        <v>5.75</v>
      </c>
      <c r="AA42">
        <v>5.75</v>
      </c>
      <c r="AB42">
        <v>6.2E-2</v>
      </c>
      <c r="AC42">
        <v>0.97</v>
      </c>
      <c r="AK42" t="s">
        <v>98</v>
      </c>
      <c r="AM42" t="s">
        <v>98</v>
      </c>
      <c r="AN42" t="s">
        <v>98</v>
      </c>
      <c r="AO42" t="s">
        <v>98</v>
      </c>
      <c r="AP42" t="s">
        <v>99</v>
      </c>
      <c r="AQ42" t="s">
        <v>102</v>
      </c>
      <c r="AV42" t="s">
        <v>98</v>
      </c>
      <c r="AX42" t="s">
        <v>231</v>
      </c>
      <c r="BF42" t="s">
        <v>232</v>
      </c>
      <c r="BG42" t="s">
        <v>98</v>
      </c>
      <c r="BH42" t="s">
        <v>98</v>
      </c>
      <c r="BI42" t="s">
        <v>98</v>
      </c>
      <c r="BK42" t="s">
        <v>138</v>
      </c>
      <c r="CA42" t="s">
        <v>139</v>
      </c>
      <c r="CB42" t="s">
        <v>231</v>
      </c>
      <c r="CL42" t="s">
        <v>98</v>
      </c>
      <c r="CM42" t="s">
        <v>98</v>
      </c>
      <c r="CO42" s="1">
        <v>38545</v>
      </c>
      <c r="CP42" s="1">
        <v>43595</v>
      </c>
    </row>
    <row r="43" spans="1:94" x14ac:dyDescent="0.25">
      <c r="A43" s="4" t="s">
        <v>233</v>
      </c>
      <c r="B43" t="str">
        <f xml:space="preserve"> "" &amp; 706411027314</f>
        <v>706411027314</v>
      </c>
      <c r="C43" t="s">
        <v>134</v>
      </c>
      <c r="D43" t="s">
        <v>234</v>
      </c>
      <c r="F43" t="s">
        <v>135</v>
      </c>
      <c r="G43">
        <v>1</v>
      </c>
      <c r="H43">
        <v>1</v>
      </c>
      <c r="I43" t="s">
        <v>97</v>
      </c>
      <c r="J43" s="32">
        <v>7.5</v>
      </c>
      <c r="K43" s="32">
        <v>22.5</v>
      </c>
      <c r="L43">
        <v>0</v>
      </c>
      <c r="N43">
        <v>0</v>
      </c>
      <c r="S43">
        <v>2.37</v>
      </c>
      <c r="T43">
        <v>5.75</v>
      </c>
      <c r="U43">
        <v>5.12</v>
      </c>
      <c r="W43">
        <v>0.79</v>
      </c>
      <c r="X43">
        <v>1</v>
      </c>
      <c r="Y43">
        <v>3.25</v>
      </c>
      <c r="Z43">
        <v>5.75</v>
      </c>
      <c r="AA43">
        <v>5.75</v>
      </c>
      <c r="AB43">
        <v>6.2E-2</v>
      </c>
      <c r="AC43">
        <v>0.97</v>
      </c>
      <c r="AK43" t="s">
        <v>98</v>
      </c>
      <c r="AM43" t="s">
        <v>98</v>
      </c>
      <c r="AN43" t="s">
        <v>98</v>
      </c>
      <c r="AO43" t="s">
        <v>98</v>
      </c>
      <c r="AP43" t="s">
        <v>99</v>
      </c>
      <c r="AQ43" t="s">
        <v>102</v>
      </c>
      <c r="AV43" t="s">
        <v>98</v>
      </c>
      <c r="AX43" t="s">
        <v>235</v>
      </c>
      <c r="BF43" t="s">
        <v>236</v>
      </c>
      <c r="BG43" t="s">
        <v>98</v>
      </c>
      <c r="BH43" t="s">
        <v>98</v>
      </c>
      <c r="BI43" t="s">
        <v>98</v>
      </c>
      <c r="BK43" t="s">
        <v>138</v>
      </c>
      <c r="CA43" t="s">
        <v>139</v>
      </c>
      <c r="CB43" t="s">
        <v>235</v>
      </c>
      <c r="CL43" t="s">
        <v>98</v>
      </c>
      <c r="CM43" t="s">
        <v>98</v>
      </c>
      <c r="CO43" s="1">
        <v>38545</v>
      </c>
      <c r="CP43" s="1">
        <v>43595</v>
      </c>
    </row>
    <row r="44" spans="1:94" x14ac:dyDescent="0.25">
      <c r="A44" s="4" t="s">
        <v>237</v>
      </c>
      <c r="B44" t="str">
        <f xml:space="preserve"> "" &amp; 706411034831</f>
        <v>706411034831</v>
      </c>
      <c r="C44" t="s">
        <v>134</v>
      </c>
      <c r="D44" t="s">
        <v>4488</v>
      </c>
      <c r="F44" t="s">
        <v>135</v>
      </c>
      <c r="G44">
        <v>1</v>
      </c>
      <c r="H44">
        <v>1</v>
      </c>
      <c r="I44" t="s">
        <v>97</v>
      </c>
      <c r="J44" s="32">
        <v>7.5</v>
      </c>
      <c r="K44" s="32">
        <v>22.5</v>
      </c>
      <c r="L44">
        <v>0</v>
      </c>
      <c r="N44">
        <v>0</v>
      </c>
      <c r="S44">
        <v>2.37</v>
      </c>
      <c r="T44">
        <v>5.75</v>
      </c>
      <c r="U44">
        <v>5.12</v>
      </c>
      <c r="W44">
        <v>0.79</v>
      </c>
      <c r="X44">
        <v>1</v>
      </c>
      <c r="Y44">
        <v>3.25</v>
      </c>
      <c r="Z44">
        <v>5.75</v>
      </c>
      <c r="AA44">
        <v>5.75</v>
      </c>
      <c r="AB44">
        <v>6.2E-2</v>
      </c>
      <c r="AC44">
        <v>0.97</v>
      </c>
      <c r="AK44" t="s">
        <v>98</v>
      </c>
      <c r="AM44" t="s">
        <v>98</v>
      </c>
      <c r="AN44" t="s">
        <v>98</v>
      </c>
      <c r="AO44" t="s">
        <v>98</v>
      </c>
      <c r="AP44" t="s">
        <v>99</v>
      </c>
      <c r="AQ44" t="s">
        <v>102</v>
      </c>
      <c r="AV44" t="s">
        <v>98</v>
      </c>
      <c r="AX44" t="s">
        <v>238</v>
      </c>
      <c r="BF44" t="s">
        <v>239</v>
      </c>
      <c r="BG44" t="s">
        <v>98</v>
      </c>
      <c r="BH44" t="s">
        <v>98</v>
      </c>
      <c r="BI44" t="s">
        <v>98</v>
      </c>
      <c r="BK44" t="s">
        <v>138</v>
      </c>
      <c r="CA44" t="s">
        <v>139</v>
      </c>
      <c r="CB44" t="s">
        <v>238</v>
      </c>
      <c r="CL44" t="s">
        <v>98</v>
      </c>
      <c r="CM44" t="s">
        <v>98</v>
      </c>
      <c r="CO44" s="1">
        <v>39728</v>
      </c>
      <c r="CP44" s="1">
        <v>43595</v>
      </c>
    </row>
    <row r="45" spans="1:94" x14ac:dyDescent="0.25">
      <c r="A45" s="4" t="s">
        <v>240</v>
      </c>
      <c r="B45" t="str">
        <f xml:space="preserve"> "" &amp; 706411053108</f>
        <v>706411053108</v>
      </c>
      <c r="C45" t="s">
        <v>134</v>
      </c>
      <c r="D45" t="s">
        <v>241</v>
      </c>
      <c r="F45" t="s">
        <v>135</v>
      </c>
      <c r="G45">
        <v>1</v>
      </c>
      <c r="H45">
        <v>1</v>
      </c>
      <c r="I45" t="s">
        <v>97</v>
      </c>
      <c r="J45" s="32">
        <v>7.5</v>
      </c>
      <c r="K45" s="32">
        <v>22.5</v>
      </c>
      <c r="L45">
        <v>0</v>
      </c>
      <c r="N45">
        <v>0</v>
      </c>
      <c r="S45">
        <v>2.37</v>
      </c>
      <c r="T45">
        <v>5.75</v>
      </c>
      <c r="U45">
        <v>5.12</v>
      </c>
      <c r="W45">
        <v>0.88</v>
      </c>
      <c r="X45">
        <v>1</v>
      </c>
      <c r="Y45">
        <v>3.25</v>
      </c>
      <c r="Z45">
        <v>5.75</v>
      </c>
      <c r="AA45">
        <v>5.75</v>
      </c>
      <c r="AB45">
        <v>6.2E-2</v>
      </c>
      <c r="AC45">
        <v>0.99</v>
      </c>
      <c r="AK45" t="s">
        <v>98</v>
      </c>
      <c r="AM45" t="s">
        <v>98</v>
      </c>
      <c r="AN45" t="s">
        <v>98</v>
      </c>
      <c r="AO45" t="s">
        <v>98</v>
      </c>
      <c r="AP45" t="s">
        <v>99</v>
      </c>
      <c r="AQ45" t="s">
        <v>102</v>
      </c>
      <c r="AV45" t="s">
        <v>98</v>
      </c>
      <c r="BF45" t="s">
        <v>242</v>
      </c>
      <c r="BG45" t="s">
        <v>98</v>
      </c>
      <c r="BH45" t="s">
        <v>98</v>
      </c>
      <c r="BI45" t="s">
        <v>98</v>
      </c>
      <c r="CL45" t="s">
        <v>98</v>
      </c>
      <c r="CM45" t="s">
        <v>98</v>
      </c>
      <c r="CP45" s="1">
        <v>43595</v>
      </c>
    </row>
    <row r="46" spans="1:94" x14ac:dyDescent="0.25">
      <c r="A46" s="4" t="s">
        <v>243</v>
      </c>
      <c r="B46" t="str">
        <f xml:space="preserve"> "" &amp; 706411018992</f>
        <v>706411018992</v>
      </c>
      <c r="C46" t="s">
        <v>134</v>
      </c>
      <c r="D46" t="s">
        <v>244</v>
      </c>
      <c r="F46" t="s">
        <v>135</v>
      </c>
      <c r="G46">
        <v>1</v>
      </c>
      <c r="H46">
        <v>1</v>
      </c>
      <c r="I46" t="s">
        <v>97</v>
      </c>
      <c r="J46" s="32">
        <v>7.5</v>
      </c>
      <c r="K46" s="32">
        <v>22.5</v>
      </c>
      <c r="L46">
        <v>0</v>
      </c>
      <c r="N46">
        <v>0</v>
      </c>
      <c r="S46">
        <v>2.37</v>
      </c>
      <c r="T46">
        <v>5.75</v>
      </c>
      <c r="U46">
        <v>5.12</v>
      </c>
      <c r="W46">
        <v>0.79</v>
      </c>
      <c r="X46">
        <v>1</v>
      </c>
      <c r="Y46">
        <v>3.25</v>
      </c>
      <c r="Z46">
        <v>5.75</v>
      </c>
      <c r="AA46">
        <v>5.75</v>
      </c>
      <c r="AB46">
        <v>6.2E-2</v>
      </c>
      <c r="AC46">
        <v>0.97</v>
      </c>
      <c r="AK46" t="s">
        <v>98</v>
      </c>
      <c r="AM46" t="s">
        <v>98</v>
      </c>
      <c r="AN46" t="s">
        <v>98</v>
      </c>
      <c r="AO46" t="s">
        <v>98</v>
      </c>
      <c r="AP46" t="s">
        <v>99</v>
      </c>
      <c r="AQ46" t="s">
        <v>102</v>
      </c>
      <c r="AV46" t="s">
        <v>98</v>
      </c>
      <c r="AX46" t="s">
        <v>245</v>
      </c>
      <c r="BF46" t="s">
        <v>246</v>
      </c>
      <c r="BG46" t="s">
        <v>98</v>
      </c>
      <c r="BH46" t="s">
        <v>98</v>
      </c>
      <c r="BI46" t="s">
        <v>98</v>
      </c>
      <c r="BK46" t="s">
        <v>138</v>
      </c>
      <c r="CA46" t="s">
        <v>139</v>
      </c>
      <c r="CB46" t="s">
        <v>245</v>
      </c>
      <c r="CL46" t="s">
        <v>98</v>
      </c>
      <c r="CM46" t="s">
        <v>98</v>
      </c>
      <c r="CO46" s="1">
        <v>38545</v>
      </c>
      <c r="CP46" s="1">
        <v>43595</v>
      </c>
    </row>
    <row r="47" spans="1:94" x14ac:dyDescent="0.25">
      <c r="A47" s="4" t="s">
        <v>247</v>
      </c>
      <c r="B47" t="str">
        <f xml:space="preserve"> "" &amp; 706411039577</f>
        <v>706411039577</v>
      </c>
      <c r="C47" t="s">
        <v>134</v>
      </c>
      <c r="D47" t="s">
        <v>248</v>
      </c>
      <c r="F47" t="s">
        <v>135</v>
      </c>
      <c r="G47">
        <v>1</v>
      </c>
      <c r="H47">
        <v>1</v>
      </c>
      <c r="I47" t="s">
        <v>97</v>
      </c>
      <c r="J47" s="32">
        <v>7.5</v>
      </c>
      <c r="K47" s="32">
        <v>22.5</v>
      </c>
      <c r="L47">
        <v>0</v>
      </c>
      <c r="N47">
        <v>0</v>
      </c>
      <c r="S47">
        <v>2.37</v>
      </c>
      <c r="T47">
        <v>5.75</v>
      </c>
      <c r="U47">
        <v>5.12</v>
      </c>
      <c r="W47">
        <v>0.79</v>
      </c>
      <c r="X47">
        <v>1</v>
      </c>
      <c r="Y47">
        <v>3.25</v>
      </c>
      <c r="Z47">
        <v>5.75</v>
      </c>
      <c r="AA47">
        <v>5.75</v>
      </c>
      <c r="AB47">
        <v>6.2E-2</v>
      </c>
      <c r="AC47">
        <v>0.97</v>
      </c>
      <c r="AK47" t="s">
        <v>98</v>
      </c>
      <c r="AM47" t="s">
        <v>98</v>
      </c>
      <c r="AN47" t="s">
        <v>98</v>
      </c>
      <c r="AO47" t="s">
        <v>98</v>
      </c>
      <c r="AP47" t="s">
        <v>99</v>
      </c>
      <c r="AQ47" t="s">
        <v>102</v>
      </c>
      <c r="AV47" t="s">
        <v>98</v>
      </c>
      <c r="AX47" t="s">
        <v>249</v>
      </c>
      <c r="BF47" t="s">
        <v>250</v>
      </c>
      <c r="BG47" t="s">
        <v>98</v>
      </c>
      <c r="BH47" t="s">
        <v>98</v>
      </c>
      <c r="BI47" t="s">
        <v>98</v>
      </c>
      <c r="BK47" t="s">
        <v>138</v>
      </c>
      <c r="CA47" t="s">
        <v>139</v>
      </c>
      <c r="CB47" t="s">
        <v>249</v>
      </c>
      <c r="CL47" t="s">
        <v>98</v>
      </c>
      <c r="CM47" t="s">
        <v>98</v>
      </c>
      <c r="CO47" s="1">
        <v>40239</v>
      </c>
      <c r="CP47" s="1">
        <v>43595</v>
      </c>
    </row>
    <row r="48" spans="1:94" x14ac:dyDescent="0.25">
      <c r="A48" s="4" t="s">
        <v>251</v>
      </c>
      <c r="B48" t="str">
        <f xml:space="preserve"> "" &amp; 706411038761</f>
        <v>706411038761</v>
      </c>
      <c r="C48" t="s">
        <v>134</v>
      </c>
      <c r="D48" t="s">
        <v>252</v>
      </c>
      <c r="F48" t="s">
        <v>135</v>
      </c>
      <c r="G48">
        <v>1</v>
      </c>
      <c r="H48">
        <v>1</v>
      </c>
      <c r="I48" t="s">
        <v>97</v>
      </c>
      <c r="J48" s="32">
        <v>7.5</v>
      </c>
      <c r="K48" s="32">
        <v>22.5</v>
      </c>
      <c r="L48">
        <v>0</v>
      </c>
      <c r="N48">
        <v>0</v>
      </c>
      <c r="S48">
        <v>2.37</v>
      </c>
      <c r="T48">
        <v>5.75</v>
      </c>
      <c r="U48">
        <v>5.12</v>
      </c>
      <c r="W48">
        <v>0.79</v>
      </c>
      <c r="X48">
        <v>1</v>
      </c>
      <c r="Y48">
        <v>3.25</v>
      </c>
      <c r="Z48">
        <v>5.75</v>
      </c>
      <c r="AA48">
        <v>5.75</v>
      </c>
      <c r="AB48">
        <v>6.2E-2</v>
      </c>
      <c r="AC48">
        <v>0.97</v>
      </c>
      <c r="AK48" t="s">
        <v>98</v>
      </c>
      <c r="AM48" t="s">
        <v>98</v>
      </c>
      <c r="AN48" t="s">
        <v>98</v>
      </c>
      <c r="AO48" t="s">
        <v>98</v>
      </c>
      <c r="AP48" t="s">
        <v>99</v>
      </c>
      <c r="AQ48" t="s">
        <v>102</v>
      </c>
      <c r="AV48" t="s">
        <v>98</v>
      </c>
      <c r="AX48" t="s">
        <v>253</v>
      </c>
      <c r="BF48" t="s">
        <v>254</v>
      </c>
      <c r="BG48" t="s">
        <v>98</v>
      </c>
      <c r="BH48" t="s">
        <v>98</v>
      </c>
      <c r="BI48" t="s">
        <v>98</v>
      </c>
      <c r="BK48" t="s">
        <v>138</v>
      </c>
      <c r="CA48" t="s">
        <v>139</v>
      </c>
      <c r="CB48" t="s">
        <v>253</v>
      </c>
      <c r="CL48" t="s">
        <v>98</v>
      </c>
      <c r="CM48" t="s">
        <v>98</v>
      </c>
      <c r="CO48" s="1">
        <v>40239</v>
      </c>
      <c r="CP48" s="1">
        <v>43595</v>
      </c>
    </row>
    <row r="49" spans="1:94" x14ac:dyDescent="0.25">
      <c r="A49" s="4" t="s">
        <v>255</v>
      </c>
      <c r="B49" t="str">
        <f xml:space="preserve"> "" &amp; 706411041549</f>
        <v>706411041549</v>
      </c>
      <c r="C49" t="s">
        <v>134</v>
      </c>
      <c r="D49" t="s">
        <v>256</v>
      </c>
      <c r="F49" t="s">
        <v>135</v>
      </c>
      <c r="G49">
        <v>1</v>
      </c>
      <c r="H49">
        <v>1</v>
      </c>
      <c r="I49" t="s">
        <v>97</v>
      </c>
      <c r="J49" s="32">
        <v>7.5</v>
      </c>
      <c r="K49" s="32">
        <v>22.5</v>
      </c>
      <c r="L49">
        <v>0</v>
      </c>
      <c r="N49">
        <v>0</v>
      </c>
      <c r="S49">
        <v>2.37</v>
      </c>
      <c r="T49">
        <v>5.75</v>
      </c>
      <c r="U49">
        <v>5.12</v>
      </c>
      <c r="W49">
        <v>0.88</v>
      </c>
      <c r="X49">
        <v>1</v>
      </c>
      <c r="Y49">
        <v>3.25</v>
      </c>
      <c r="Z49">
        <v>5.75</v>
      </c>
      <c r="AA49">
        <v>5.75</v>
      </c>
      <c r="AB49">
        <v>6.2E-2</v>
      </c>
      <c r="AC49">
        <v>0.99</v>
      </c>
      <c r="AK49" t="s">
        <v>98</v>
      </c>
      <c r="AM49" t="s">
        <v>98</v>
      </c>
      <c r="AN49" t="s">
        <v>98</v>
      </c>
      <c r="AO49" t="s">
        <v>98</v>
      </c>
      <c r="AP49" t="s">
        <v>99</v>
      </c>
      <c r="AQ49" t="s">
        <v>102</v>
      </c>
      <c r="AV49" t="s">
        <v>98</v>
      </c>
      <c r="AX49" t="s">
        <v>257</v>
      </c>
      <c r="AZ49" t="s">
        <v>109</v>
      </c>
      <c r="BF49" t="s">
        <v>258</v>
      </c>
      <c r="BG49" t="s">
        <v>98</v>
      </c>
      <c r="BH49" t="s">
        <v>98</v>
      </c>
      <c r="BI49" t="s">
        <v>98</v>
      </c>
      <c r="BK49" t="s">
        <v>138</v>
      </c>
      <c r="CA49" t="s">
        <v>139</v>
      </c>
      <c r="CB49" t="s">
        <v>257</v>
      </c>
      <c r="CL49" t="s">
        <v>98</v>
      </c>
      <c r="CM49" t="s">
        <v>98</v>
      </c>
      <c r="CN49" t="s">
        <v>156</v>
      </c>
      <c r="CO49" s="1">
        <v>40239</v>
      </c>
      <c r="CP49" s="1">
        <v>43595</v>
      </c>
    </row>
    <row r="50" spans="1:94" x14ac:dyDescent="0.25">
      <c r="A50" s="4" t="s">
        <v>259</v>
      </c>
      <c r="B50" t="str">
        <f xml:space="preserve"> "" &amp; 706411038778</f>
        <v>706411038778</v>
      </c>
      <c r="C50" t="s">
        <v>134</v>
      </c>
      <c r="D50" t="s">
        <v>260</v>
      </c>
      <c r="F50" t="s">
        <v>135</v>
      </c>
      <c r="G50">
        <v>1</v>
      </c>
      <c r="H50">
        <v>1</v>
      </c>
      <c r="I50" t="s">
        <v>97</v>
      </c>
      <c r="J50" s="32">
        <v>7.5</v>
      </c>
      <c r="K50" s="32">
        <v>22.5</v>
      </c>
      <c r="L50">
        <v>0</v>
      </c>
      <c r="N50">
        <v>0</v>
      </c>
      <c r="S50">
        <v>2.37</v>
      </c>
      <c r="T50">
        <v>5.75</v>
      </c>
      <c r="U50">
        <v>5.12</v>
      </c>
      <c r="W50">
        <v>0.79</v>
      </c>
      <c r="X50">
        <v>1</v>
      </c>
      <c r="Y50">
        <v>3.25</v>
      </c>
      <c r="Z50">
        <v>5.75</v>
      </c>
      <c r="AA50">
        <v>5.75</v>
      </c>
      <c r="AB50">
        <v>6.2E-2</v>
      </c>
      <c r="AC50">
        <v>0.97</v>
      </c>
      <c r="AK50" t="s">
        <v>98</v>
      </c>
      <c r="AM50" t="s">
        <v>98</v>
      </c>
      <c r="AN50" t="s">
        <v>98</v>
      </c>
      <c r="AO50" t="s">
        <v>98</v>
      </c>
      <c r="AP50" t="s">
        <v>99</v>
      </c>
      <c r="AQ50" t="s">
        <v>102</v>
      </c>
      <c r="AV50" t="s">
        <v>98</v>
      </c>
      <c r="AX50" t="s">
        <v>261</v>
      </c>
      <c r="BF50" t="s">
        <v>262</v>
      </c>
      <c r="BG50" t="s">
        <v>98</v>
      </c>
      <c r="BH50" t="s">
        <v>98</v>
      </c>
      <c r="BI50" t="s">
        <v>98</v>
      </c>
      <c r="BK50" t="s">
        <v>138</v>
      </c>
      <c r="CA50" t="s">
        <v>139</v>
      </c>
      <c r="CB50" t="s">
        <v>261</v>
      </c>
      <c r="CL50" t="s">
        <v>98</v>
      </c>
      <c r="CM50" t="s">
        <v>98</v>
      </c>
      <c r="CO50" s="1">
        <v>40239</v>
      </c>
      <c r="CP50" s="1">
        <v>43595</v>
      </c>
    </row>
    <row r="51" spans="1:94" x14ac:dyDescent="0.25">
      <c r="A51" s="4" t="s">
        <v>263</v>
      </c>
      <c r="B51" t="str">
        <f xml:space="preserve"> "" &amp; 706411034817</f>
        <v>706411034817</v>
      </c>
      <c r="C51" t="s">
        <v>134</v>
      </c>
      <c r="D51" t="s">
        <v>264</v>
      </c>
      <c r="F51" t="s">
        <v>135</v>
      </c>
      <c r="G51">
        <v>1</v>
      </c>
      <c r="H51">
        <v>1</v>
      </c>
      <c r="I51" t="s">
        <v>97</v>
      </c>
      <c r="J51" s="32">
        <v>7.5</v>
      </c>
      <c r="K51" s="32">
        <v>22.5</v>
      </c>
      <c r="L51">
        <v>0</v>
      </c>
      <c r="N51">
        <v>0</v>
      </c>
      <c r="S51">
        <v>2.37</v>
      </c>
      <c r="T51">
        <v>5.75</v>
      </c>
      <c r="U51">
        <v>5.12</v>
      </c>
      <c r="W51">
        <v>0.79</v>
      </c>
      <c r="X51">
        <v>1</v>
      </c>
      <c r="Y51">
        <v>3.25</v>
      </c>
      <c r="Z51">
        <v>5.75</v>
      </c>
      <c r="AA51">
        <v>5.75</v>
      </c>
      <c r="AB51">
        <v>6.2E-2</v>
      </c>
      <c r="AC51">
        <v>0.97</v>
      </c>
      <c r="AK51" t="s">
        <v>98</v>
      </c>
      <c r="AM51" t="s">
        <v>98</v>
      </c>
      <c r="AN51" t="s">
        <v>98</v>
      </c>
      <c r="AO51" t="s">
        <v>98</v>
      </c>
      <c r="AP51" t="s">
        <v>99</v>
      </c>
      <c r="AQ51" t="s">
        <v>102</v>
      </c>
      <c r="AV51" t="s">
        <v>98</v>
      </c>
      <c r="AX51" t="s">
        <v>265</v>
      </c>
      <c r="BF51" t="s">
        <v>266</v>
      </c>
      <c r="BG51" t="s">
        <v>98</v>
      </c>
      <c r="BH51" t="s">
        <v>98</v>
      </c>
      <c r="BI51" t="s">
        <v>98</v>
      </c>
      <c r="BK51" t="s">
        <v>138</v>
      </c>
      <c r="CA51" t="s">
        <v>139</v>
      </c>
      <c r="CB51" t="s">
        <v>265</v>
      </c>
      <c r="CL51" t="s">
        <v>98</v>
      </c>
      <c r="CM51" t="s">
        <v>98</v>
      </c>
      <c r="CO51" s="1">
        <v>39728</v>
      </c>
      <c r="CP51" s="1">
        <v>43595</v>
      </c>
    </row>
    <row r="52" spans="1:94" x14ac:dyDescent="0.25">
      <c r="A52" s="4" t="s">
        <v>267</v>
      </c>
      <c r="B52" t="str">
        <f xml:space="preserve"> "" &amp; 706411042997</f>
        <v>706411042997</v>
      </c>
      <c r="C52" t="s">
        <v>134</v>
      </c>
      <c r="D52" t="s">
        <v>268</v>
      </c>
      <c r="F52" t="s">
        <v>135</v>
      </c>
      <c r="G52">
        <v>1</v>
      </c>
      <c r="H52">
        <v>1</v>
      </c>
      <c r="I52" t="s">
        <v>97</v>
      </c>
      <c r="J52" s="32">
        <v>7.5</v>
      </c>
      <c r="K52" s="32">
        <v>22.5</v>
      </c>
      <c r="L52">
        <v>0</v>
      </c>
      <c r="N52">
        <v>0</v>
      </c>
      <c r="S52">
        <v>2.37</v>
      </c>
      <c r="T52">
        <v>5.75</v>
      </c>
      <c r="U52">
        <v>5.12</v>
      </c>
      <c r="W52">
        <v>0.88</v>
      </c>
      <c r="X52">
        <v>1</v>
      </c>
      <c r="Y52">
        <v>3.25</v>
      </c>
      <c r="Z52">
        <v>5.75</v>
      </c>
      <c r="AA52">
        <v>5.75</v>
      </c>
      <c r="AB52">
        <v>6.2E-2</v>
      </c>
      <c r="AC52">
        <v>0.99</v>
      </c>
      <c r="AK52" t="s">
        <v>98</v>
      </c>
      <c r="AM52" t="s">
        <v>98</v>
      </c>
      <c r="AN52" t="s">
        <v>98</v>
      </c>
      <c r="AO52" t="s">
        <v>98</v>
      </c>
      <c r="AP52" t="s">
        <v>99</v>
      </c>
      <c r="AQ52" t="s">
        <v>102</v>
      </c>
      <c r="AV52" t="s">
        <v>98</v>
      </c>
      <c r="AX52" t="s">
        <v>269</v>
      </c>
      <c r="BF52" t="s">
        <v>270</v>
      </c>
      <c r="BG52" t="s">
        <v>98</v>
      </c>
      <c r="BH52" t="s">
        <v>98</v>
      </c>
      <c r="BI52" t="s">
        <v>98</v>
      </c>
      <c r="CB52" t="s">
        <v>269</v>
      </c>
      <c r="CL52" t="s">
        <v>98</v>
      </c>
      <c r="CM52" t="s">
        <v>98</v>
      </c>
      <c r="CP52" s="1">
        <v>43595</v>
      </c>
    </row>
    <row r="53" spans="1:94" x14ac:dyDescent="0.25">
      <c r="A53" s="4" t="s">
        <v>271</v>
      </c>
      <c r="B53" t="str">
        <f xml:space="preserve"> "" &amp; 706411029073</f>
        <v>706411029073</v>
      </c>
      <c r="C53" t="s">
        <v>134</v>
      </c>
      <c r="D53" t="s">
        <v>272</v>
      </c>
      <c r="F53" t="s">
        <v>135</v>
      </c>
      <c r="G53">
        <v>1</v>
      </c>
      <c r="H53">
        <v>1</v>
      </c>
      <c r="I53" t="s">
        <v>97</v>
      </c>
      <c r="J53" s="32">
        <v>7.5</v>
      </c>
      <c r="K53" s="32">
        <v>22.5</v>
      </c>
      <c r="L53">
        <v>0</v>
      </c>
      <c r="N53">
        <v>0</v>
      </c>
      <c r="S53">
        <v>2.37</v>
      </c>
      <c r="T53">
        <v>5.75</v>
      </c>
      <c r="U53">
        <v>5.12</v>
      </c>
      <c r="W53">
        <v>0.79</v>
      </c>
      <c r="X53">
        <v>1</v>
      </c>
      <c r="Y53">
        <v>3.25</v>
      </c>
      <c r="Z53">
        <v>5.75</v>
      </c>
      <c r="AA53">
        <v>5.75</v>
      </c>
      <c r="AB53">
        <v>6.2E-2</v>
      </c>
      <c r="AC53">
        <v>0.97</v>
      </c>
      <c r="AK53" t="s">
        <v>98</v>
      </c>
      <c r="AM53" t="s">
        <v>98</v>
      </c>
      <c r="AN53" t="s">
        <v>98</v>
      </c>
      <c r="AO53" t="s">
        <v>98</v>
      </c>
      <c r="AP53" t="s">
        <v>99</v>
      </c>
      <c r="AQ53" t="s">
        <v>102</v>
      </c>
      <c r="AV53" t="s">
        <v>98</v>
      </c>
      <c r="AX53" t="s">
        <v>273</v>
      </c>
      <c r="BF53" t="s">
        <v>274</v>
      </c>
      <c r="BG53" t="s">
        <v>98</v>
      </c>
      <c r="BH53" t="s">
        <v>98</v>
      </c>
      <c r="BI53" t="s">
        <v>98</v>
      </c>
      <c r="BK53" t="s">
        <v>138</v>
      </c>
      <c r="CA53" t="s">
        <v>139</v>
      </c>
      <c r="CB53" t="s">
        <v>273</v>
      </c>
      <c r="CL53" t="s">
        <v>98</v>
      </c>
      <c r="CM53" t="s">
        <v>98</v>
      </c>
      <c r="CO53" s="1">
        <v>38545</v>
      </c>
      <c r="CP53" s="1">
        <v>43595</v>
      </c>
    </row>
    <row r="54" spans="1:94" x14ac:dyDescent="0.25">
      <c r="A54" s="4" t="s">
        <v>275</v>
      </c>
      <c r="B54" t="str">
        <f xml:space="preserve"> "" &amp; 706411019050</f>
        <v>706411019050</v>
      </c>
      <c r="C54" t="s">
        <v>134</v>
      </c>
      <c r="D54" t="s">
        <v>276</v>
      </c>
      <c r="F54" t="s">
        <v>135</v>
      </c>
      <c r="G54">
        <v>1</v>
      </c>
      <c r="H54">
        <v>1</v>
      </c>
      <c r="I54" t="s">
        <v>97</v>
      </c>
      <c r="J54" s="32">
        <v>6.5</v>
      </c>
      <c r="K54" s="32">
        <v>19.5</v>
      </c>
      <c r="L54">
        <v>0</v>
      </c>
      <c r="N54">
        <v>0</v>
      </c>
      <c r="S54">
        <v>2.37</v>
      </c>
      <c r="T54">
        <v>5.75</v>
      </c>
      <c r="U54">
        <v>5.12</v>
      </c>
      <c r="W54">
        <v>0.79</v>
      </c>
      <c r="X54">
        <v>1</v>
      </c>
      <c r="Y54">
        <v>3.25</v>
      </c>
      <c r="Z54">
        <v>5.75</v>
      </c>
      <c r="AA54">
        <v>5.75</v>
      </c>
      <c r="AB54">
        <v>6.2E-2</v>
      </c>
      <c r="AC54">
        <v>0.97</v>
      </c>
      <c r="AK54" t="s">
        <v>98</v>
      </c>
      <c r="AM54" t="s">
        <v>98</v>
      </c>
      <c r="AN54" t="s">
        <v>98</v>
      </c>
      <c r="AO54" t="s">
        <v>98</v>
      </c>
      <c r="AP54" t="s">
        <v>99</v>
      </c>
      <c r="AQ54" t="s">
        <v>102</v>
      </c>
      <c r="AV54" t="s">
        <v>98</v>
      </c>
      <c r="AX54" t="s">
        <v>277</v>
      </c>
      <c r="BF54" t="s">
        <v>278</v>
      </c>
      <c r="BG54" t="s">
        <v>98</v>
      </c>
      <c r="BH54" t="s">
        <v>98</v>
      </c>
      <c r="BI54" t="s">
        <v>98</v>
      </c>
      <c r="BK54" t="s">
        <v>138</v>
      </c>
      <c r="CA54" t="s">
        <v>139</v>
      </c>
      <c r="CB54" t="s">
        <v>277</v>
      </c>
      <c r="CL54" t="s">
        <v>98</v>
      </c>
      <c r="CM54" t="s">
        <v>98</v>
      </c>
      <c r="CO54" s="1">
        <v>38545</v>
      </c>
      <c r="CP54" s="1">
        <v>43595</v>
      </c>
    </row>
    <row r="55" spans="1:94" x14ac:dyDescent="0.25">
      <c r="A55" s="4" t="s">
        <v>279</v>
      </c>
      <c r="B55" t="str">
        <f xml:space="preserve"> "" &amp; 706411061400</f>
        <v>706411061400</v>
      </c>
      <c r="C55" t="s">
        <v>134</v>
      </c>
      <c r="D55" t="s">
        <v>280</v>
      </c>
      <c r="F55" t="s">
        <v>135</v>
      </c>
      <c r="G55">
        <v>1</v>
      </c>
      <c r="H55">
        <v>1</v>
      </c>
      <c r="I55" t="s">
        <v>97</v>
      </c>
      <c r="J55" s="32">
        <v>6.5</v>
      </c>
      <c r="K55" s="32">
        <v>19.5</v>
      </c>
      <c r="L55">
        <v>0</v>
      </c>
      <c r="N55">
        <v>0</v>
      </c>
      <c r="S55">
        <v>2.37</v>
      </c>
      <c r="T55">
        <v>5.75</v>
      </c>
      <c r="U55">
        <v>5.12</v>
      </c>
      <c r="W55">
        <v>0.88</v>
      </c>
      <c r="X55">
        <v>1</v>
      </c>
      <c r="Y55">
        <v>3.25</v>
      </c>
      <c r="Z55">
        <v>5.75</v>
      </c>
      <c r="AA55">
        <v>5.75</v>
      </c>
      <c r="AB55">
        <v>6.2E-2</v>
      </c>
      <c r="AC55">
        <v>0.99</v>
      </c>
      <c r="AK55" t="s">
        <v>98</v>
      </c>
      <c r="AM55" t="s">
        <v>98</v>
      </c>
      <c r="AN55" t="s">
        <v>98</v>
      </c>
      <c r="AO55" t="s">
        <v>98</v>
      </c>
      <c r="AP55" t="s">
        <v>99</v>
      </c>
      <c r="AQ55" t="s">
        <v>102</v>
      </c>
      <c r="AV55" t="s">
        <v>98</v>
      </c>
      <c r="AX55" t="s">
        <v>281</v>
      </c>
      <c r="BF55" t="s">
        <v>282</v>
      </c>
      <c r="BG55" t="s">
        <v>98</v>
      </c>
      <c r="BH55" t="s">
        <v>98</v>
      </c>
      <c r="BI55" t="s">
        <v>98</v>
      </c>
      <c r="BK55" t="s">
        <v>138</v>
      </c>
      <c r="CB55" t="s">
        <v>281</v>
      </c>
      <c r="CL55" t="s">
        <v>98</v>
      </c>
      <c r="CM55" t="s">
        <v>98</v>
      </c>
      <c r="CN55" t="s">
        <v>156</v>
      </c>
      <c r="CO55" s="1">
        <v>43412</v>
      </c>
      <c r="CP55" s="1">
        <v>43595</v>
      </c>
    </row>
    <row r="56" spans="1:94" x14ac:dyDescent="0.25">
      <c r="A56" s="4" t="s">
        <v>283</v>
      </c>
      <c r="B56" t="str">
        <f xml:space="preserve"> "" &amp; 706411019067</f>
        <v>706411019067</v>
      </c>
      <c r="C56" t="s">
        <v>134</v>
      </c>
      <c r="D56" t="s">
        <v>4489</v>
      </c>
      <c r="F56" t="s">
        <v>135</v>
      </c>
      <c r="G56">
        <v>1</v>
      </c>
      <c r="H56">
        <v>1</v>
      </c>
      <c r="I56" t="s">
        <v>97</v>
      </c>
      <c r="J56" s="32">
        <v>7.5</v>
      </c>
      <c r="K56" s="32">
        <v>22.5</v>
      </c>
      <c r="L56">
        <v>0</v>
      </c>
      <c r="N56">
        <v>0</v>
      </c>
      <c r="S56">
        <v>2.37</v>
      </c>
      <c r="T56">
        <v>5.75</v>
      </c>
      <c r="U56">
        <v>5.12</v>
      </c>
      <c r="W56">
        <v>0.79</v>
      </c>
      <c r="X56">
        <v>1</v>
      </c>
      <c r="Y56">
        <v>3.25</v>
      </c>
      <c r="Z56">
        <v>5.75</v>
      </c>
      <c r="AA56">
        <v>5.75</v>
      </c>
      <c r="AB56">
        <v>6.2E-2</v>
      </c>
      <c r="AC56">
        <v>0.97</v>
      </c>
      <c r="AK56" t="s">
        <v>98</v>
      </c>
      <c r="AM56" t="s">
        <v>98</v>
      </c>
      <c r="AN56" t="s">
        <v>98</v>
      </c>
      <c r="AO56" t="s">
        <v>98</v>
      </c>
      <c r="AP56" t="s">
        <v>99</v>
      </c>
      <c r="AQ56" t="s">
        <v>102</v>
      </c>
      <c r="AV56" t="s">
        <v>98</v>
      </c>
      <c r="AX56" t="s">
        <v>284</v>
      </c>
      <c r="BF56" t="s">
        <v>285</v>
      </c>
      <c r="BG56" t="s">
        <v>98</v>
      </c>
      <c r="BH56" t="s">
        <v>98</v>
      </c>
      <c r="BI56" t="s">
        <v>98</v>
      </c>
      <c r="BK56" t="s">
        <v>138</v>
      </c>
      <c r="CA56" t="s">
        <v>139</v>
      </c>
      <c r="CB56" t="s">
        <v>284</v>
      </c>
      <c r="CL56" t="s">
        <v>98</v>
      </c>
      <c r="CM56" t="s">
        <v>98</v>
      </c>
      <c r="CO56" s="1">
        <v>38545</v>
      </c>
      <c r="CP56" s="1">
        <v>43595</v>
      </c>
    </row>
    <row r="57" spans="1:94" x14ac:dyDescent="0.25">
      <c r="A57" s="4" t="s">
        <v>286</v>
      </c>
      <c r="B57" t="str">
        <f xml:space="preserve"> "" &amp; 706411062353</f>
        <v>706411062353</v>
      </c>
      <c r="C57" t="s">
        <v>287</v>
      </c>
      <c r="D57" t="s">
        <v>288</v>
      </c>
      <c r="F57" t="s">
        <v>135</v>
      </c>
      <c r="G57">
        <v>1</v>
      </c>
      <c r="H57">
        <v>1</v>
      </c>
      <c r="I57" t="s">
        <v>97</v>
      </c>
      <c r="J57" s="32">
        <v>6.5</v>
      </c>
      <c r="K57" s="32">
        <v>19.5</v>
      </c>
      <c r="L57">
        <v>0</v>
      </c>
      <c r="N57">
        <v>0</v>
      </c>
      <c r="S57">
        <v>2.37</v>
      </c>
      <c r="T57">
        <v>5.75</v>
      </c>
      <c r="U57">
        <v>5.12</v>
      </c>
      <c r="W57">
        <v>0.88</v>
      </c>
      <c r="X57">
        <v>1</v>
      </c>
      <c r="Y57">
        <v>3.25</v>
      </c>
      <c r="Z57">
        <v>5.75</v>
      </c>
      <c r="AA57">
        <v>5.75</v>
      </c>
      <c r="AB57">
        <v>6.2E-2</v>
      </c>
      <c r="AC57">
        <v>0.99</v>
      </c>
      <c r="AK57" t="s">
        <v>98</v>
      </c>
      <c r="AM57" t="s">
        <v>98</v>
      </c>
      <c r="AN57" t="s">
        <v>98</v>
      </c>
      <c r="AO57" t="s">
        <v>98</v>
      </c>
      <c r="AP57" t="s">
        <v>99</v>
      </c>
      <c r="AQ57" t="s">
        <v>102</v>
      </c>
      <c r="AV57" t="s">
        <v>98</v>
      </c>
      <c r="AX57" t="s">
        <v>289</v>
      </c>
      <c r="BF57" t="s">
        <v>290</v>
      </c>
      <c r="BG57" t="s">
        <v>98</v>
      </c>
      <c r="BH57" t="s">
        <v>98</v>
      </c>
      <c r="BI57" t="s">
        <v>98</v>
      </c>
      <c r="BJ57" t="s">
        <v>291</v>
      </c>
      <c r="BK57" t="s">
        <v>292</v>
      </c>
      <c r="CA57" t="s">
        <v>139</v>
      </c>
      <c r="CB57" t="s">
        <v>289</v>
      </c>
      <c r="CL57" t="s">
        <v>98</v>
      </c>
      <c r="CM57" t="s">
        <v>98</v>
      </c>
      <c r="CN57" t="s">
        <v>156</v>
      </c>
      <c r="CO57" s="1">
        <v>43571</v>
      </c>
      <c r="CP57" s="1">
        <v>43588</v>
      </c>
    </row>
    <row r="58" spans="1:94" x14ac:dyDescent="0.25">
      <c r="A58" s="4" t="s">
        <v>293</v>
      </c>
      <c r="B58" t="str">
        <f xml:space="preserve"> "" &amp; 706411043550</f>
        <v>706411043550</v>
      </c>
      <c r="C58" t="s">
        <v>134</v>
      </c>
      <c r="D58" t="s">
        <v>294</v>
      </c>
      <c r="F58" t="s">
        <v>135</v>
      </c>
      <c r="G58">
        <v>1</v>
      </c>
      <c r="H58">
        <v>1</v>
      </c>
      <c r="I58" t="s">
        <v>97</v>
      </c>
      <c r="J58" s="32">
        <v>7.5</v>
      </c>
      <c r="K58" s="32">
        <v>22.5</v>
      </c>
      <c r="L58">
        <v>0</v>
      </c>
      <c r="N58">
        <v>0</v>
      </c>
      <c r="S58">
        <v>2.37</v>
      </c>
      <c r="T58">
        <v>5.75</v>
      </c>
      <c r="U58">
        <v>5.12</v>
      </c>
      <c r="W58">
        <v>0.88</v>
      </c>
      <c r="X58">
        <v>1</v>
      </c>
      <c r="Y58">
        <v>3.25</v>
      </c>
      <c r="Z58">
        <v>5.75</v>
      </c>
      <c r="AA58">
        <v>5.75</v>
      </c>
      <c r="AB58">
        <v>6.2E-2</v>
      </c>
      <c r="AC58">
        <v>0.99</v>
      </c>
      <c r="AK58" t="s">
        <v>98</v>
      </c>
      <c r="AM58" t="s">
        <v>98</v>
      </c>
      <c r="AN58" t="s">
        <v>98</v>
      </c>
      <c r="AO58" t="s">
        <v>98</v>
      </c>
      <c r="AP58" t="s">
        <v>99</v>
      </c>
      <c r="AQ58" t="s">
        <v>102</v>
      </c>
      <c r="AV58" t="s">
        <v>98</v>
      </c>
      <c r="AX58" t="s">
        <v>295</v>
      </c>
      <c r="BF58" t="s">
        <v>296</v>
      </c>
      <c r="BG58" t="s">
        <v>98</v>
      </c>
      <c r="BH58" t="s">
        <v>98</v>
      </c>
      <c r="BI58" t="s">
        <v>98</v>
      </c>
      <c r="BK58" t="s">
        <v>138</v>
      </c>
      <c r="CB58" t="s">
        <v>295</v>
      </c>
      <c r="CL58" t="s">
        <v>98</v>
      </c>
      <c r="CM58" t="s">
        <v>98</v>
      </c>
      <c r="CN58" t="s">
        <v>156</v>
      </c>
      <c r="CO58" s="1">
        <v>43395</v>
      </c>
      <c r="CP58" s="1">
        <v>43595</v>
      </c>
    </row>
    <row r="59" spans="1:94" x14ac:dyDescent="0.25">
      <c r="A59" s="4" t="s">
        <v>297</v>
      </c>
      <c r="B59" t="str">
        <f xml:space="preserve"> "" &amp; 706411019081</f>
        <v>706411019081</v>
      </c>
      <c r="C59" t="s">
        <v>134</v>
      </c>
      <c r="D59" t="s">
        <v>4490</v>
      </c>
      <c r="F59" t="s">
        <v>135</v>
      </c>
      <c r="G59">
        <v>1</v>
      </c>
      <c r="H59">
        <v>1</v>
      </c>
      <c r="I59" t="s">
        <v>97</v>
      </c>
      <c r="J59" s="32">
        <v>7.5</v>
      </c>
      <c r="K59" s="32">
        <v>22.5</v>
      </c>
      <c r="L59">
        <v>0</v>
      </c>
      <c r="N59">
        <v>0</v>
      </c>
      <c r="S59">
        <v>2.37</v>
      </c>
      <c r="T59">
        <v>5.75</v>
      </c>
      <c r="U59">
        <v>5.12</v>
      </c>
      <c r="W59">
        <v>0.79</v>
      </c>
      <c r="X59">
        <v>1</v>
      </c>
      <c r="Y59">
        <v>3.25</v>
      </c>
      <c r="Z59">
        <v>5.75</v>
      </c>
      <c r="AA59">
        <v>5.75</v>
      </c>
      <c r="AB59">
        <v>6.2E-2</v>
      </c>
      <c r="AC59">
        <v>0.97</v>
      </c>
      <c r="AK59" t="s">
        <v>98</v>
      </c>
      <c r="AM59" t="s">
        <v>98</v>
      </c>
      <c r="AN59" t="s">
        <v>98</v>
      </c>
      <c r="AO59" t="s">
        <v>98</v>
      </c>
      <c r="AP59" t="s">
        <v>99</v>
      </c>
      <c r="AQ59" t="s">
        <v>102</v>
      </c>
      <c r="AV59" t="s">
        <v>98</v>
      </c>
      <c r="AX59" t="s">
        <v>298</v>
      </c>
      <c r="BF59" t="s">
        <v>299</v>
      </c>
      <c r="BG59" t="s">
        <v>98</v>
      </c>
      <c r="BH59" t="s">
        <v>98</v>
      </c>
      <c r="BI59" t="s">
        <v>98</v>
      </c>
      <c r="BK59" t="s">
        <v>138</v>
      </c>
      <c r="CA59" t="s">
        <v>139</v>
      </c>
      <c r="CB59" t="s">
        <v>298</v>
      </c>
      <c r="CL59" t="s">
        <v>98</v>
      </c>
      <c r="CM59" t="s">
        <v>98</v>
      </c>
      <c r="CO59" s="1">
        <v>38545</v>
      </c>
      <c r="CP59" s="1">
        <v>43595</v>
      </c>
    </row>
    <row r="60" spans="1:94" x14ac:dyDescent="0.25">
      <c r="A60" s="4" t="s">
        <v>300</v>
      </c>
      <c r="B60" t="str">
        <f xml:space="preserve"> "" &amp; 706411019098</f>
        <v>706411019098</v>
      </c>
      <c r="C60" t="s">
        <v>134</v>
      </c>
      <c r="D60" t="s">
        <v>301</v>
      </c>
      <c r="F60" t="s">
        <v>135</v>
      </c>
      <c r="G60">
        <v>1</v>
      </c>
      <c r="H60">
        <v>1</v>
      </c>
      <c r="I60" t="s">
        <v>97</v>
      </c>
      <c r="J60" s="32">
        <v>6.5</v>
      </c>
      <c r="K60" s="32">
        <v>19.5</v>
      </c>
      <c r="L60">
        <v>0</v>
      </c>
      <c r="N60">
        <v>0</v>
      </c>
      <c r="S60">
        <v>2.37</v>
      </c>
      <c r="T60">
        <v>5.75</v>
      </c>
      <c r="U60">
        <v>5.12</v>
      </c>
      <c r="W60">
        <v>0.79</v>
      </c>
      <c r="X60">
        <v>1</v>
      </c>
      <c r="Y60">
        <v>3.25</v>
      </c>
      <c r="Z60">
        <v>5.75</v>
      </c>
      <c r="AA60">
        <v>5.75</v>
      </c>
      <c r="AB60">
        <v>6.2E-2</v>
      </c>
      <c r="AC60">
        <v>0.97</v>
      </c>
      <c r="AK60" t="s">
        <v>98</v>
      </c>
      <c r="AM60" t="s">
        <v>98</v>
      </c>
      <c r="AN60" t="s">
        <v>98</v>
      </c>
      <c r="AO60" t="s">
        <v>98</v>
      </c>
      <c r="AP60" t="s">
        <v>99</v>
      </c>
      <c r="AQ60" t="s">
        <v>102</v>
      </c>
      <c r="AV60" t="s">
        <v>98</v>
      </c>
      <c r="AX60" t="s">
        <v>302</v>
      </c>
      <c r="BF60" t="s">
        <v>303</v>
      </c>
      <c r="BG60" t="s">
        <v>98</v>
      </c>
      <c r="BH60" t="s">
        <v>98</v>
      </c>
      <c r="BI60" t="s">
        <v>98</v>
      </c>
      <c r="BK60" t="s">
        <v>138</v>
      </c>
      <c r="CA60" t="s">
        <v>139</v>
      </c>
      <c r="CB60" t="s">
        <v>302</v>
      </c>
      <c r="CL60" t="s">
        <v>98</v>
      </c>
      <c r="CM60" t="s">
        <v>98</v>
      </c>
      <c r="CO60" s="1">
        <v>38545</v>
      </c>
      <c r="CP60" s="1">
        <v>43595</v>
      </c>
    </row>
    <row r="61" spans="1:94" x14ac:dyDescent="0.25">
      <c r="A61" s="4" t="s">
        <v>304</v>
      </c>
      <c r="B61" t="str">
        <f xml:space="preserve"> "" &amp; 706411020360</f>
        <v>706411020360</v>
      </c>
      <c r="C61" t="s">
        <v>134</v>
      </c>
      <c r="D61" t="s">
        <v>305</v>
      </c>
      <c r="F61" t="s">
        <v>135</v>
      </c>
      <c r="G61">
        <v>1</v>
      </c>
      <c r="H61">
        <v>1</v>
      </c>
      <c r="I61" t="s">
        <v>97</v>
      </c>
      <c r="J61" s="32">
        <v>6.5</v>
      </c>
      <c r="K61" s="32">
        <v>19.5</v>
      </c>
      <c r="L61">
        <v>0</v>
      </c>
      <c r="N61">
        <v>0</v>
      </c>
      <c r="S61">
        <v>2.37</v>
      </c>
      <c r="T61">
        <v>5.75</v>
      </c>
      <c r="U61">
        <v>5.12</v>
      </c>
      <c r="W61">
        <v>0.79</v>
      </c>
      <c r="X61">
        <v>1</v>
      </c>
      <c r="Y61">
        <v>3.25</v>
      </c>
      <c r="Z61">
        <v>5.75</v>
      </c>
      <c r="AA61">
        <v>5.75</v>
      </c>
      <c r="AB61">
        <v>6.2E-2</v>
      </c>
      <c r="AC61">
        <v>0.97</v>
      </c>
      <c r="AK61" t="s">
        <v>98</v>
      </c>
      <c r="AM61" t="s">
        <v>98</v>
      </c>
      <c r="AN61" t="s">
        <v>98</v>
      </c>
      <c r="AO61" t="s">
        <v>98</v>
      </c>
      <c r="AP61" t="s">
        <v>99</v>
      </c>
      <c r="AQ61" t="s">
        <v>102</v>
      </c>
      <c r="AV61" t="s">
        <v>98</v>
      </c>
      <c r="AX61" t="s">
        <v>306</v>
      </c>
      <c r="BF61" t="s">
        <v>307</v>
      </c>
      <c r="BG61" t="s">
        <v>98</v>
      </c>
      <c r="BH61" t="s">
        <v>98</v>
      </c>
      <c r="BI61" t="s">
        <v>98</v>
      </c>
      <c r="BK61" t="s">
        <v>138</v>
      </c>
      <c r="CA61" t="s">
        <v>139</v>
      </c>
      <c r="CB61" t="s">
        <v>306</v>
      </c>
      <c r="CL61" t="s">
        <v>98</v>
      </c>
      <c r="CM61" t="s">
        <v>98</v>
      </c>
      <c r="CO61" s="1">
        <v>38545</v>
      </c>
      <c r="CP61" s="1">
        <v>43595</v>
      </c>
    </row>
    <row r="62" spans="1:94" x14ac:dyDescent="0.25">
      <c r="A62" s="4" t="s">
        <v>308</v>
      </c>
      <c r="B62" t="str">
        <f xml:space="preserve"> "" &amp; 706411051005</f>
        <v>706411051005</v>
      </c>
      <c r="C62" t="s">
        <v>309</v>
      </c>
      <c r="D62" t="s">
        <v>310</v>
      </c>
      <c r="F62" t="s">
        <v>135</v>
      </c>
      <c r="G62">
        <v>1</v>
      </c>
      <c r="H62">
        <v>1</v>
      </c>
      <c r="I62" t="s">
        <v>97</v>
      </c>
      <c r="J62" s="32">
        <v>10.95</v>
      </c>
      <c r="K62" s="32">
        <v>32.85</v>
      </c>
      <c r="L62">
        <v>0</v>
      </c>
      <c r="N62">
        <v>0</v>
      </c>
      <c r="S62">
        <v>2.75</v>
      </c>
      <c r="T62">
        <v>4.75</v>
      </c>
      <c r="U62">
        <v>4.75</v>
      </c>
      <c r="W62">
        <v>1.08</v>
      </c>
      <c r="X62">
        <v>1</v>
      </c>
      <c r="Y62">
        <v>2.75</v>
      </c>
      <c r="Z62">
        <v>4.75</v>
      </c>
      <c r="AA62">
        <v>4.75</v>
      </c>
      <c r="AB62">
        <v>3.5999999999999997E-2</v>
      </c>
      <c r="AC62">
        <v>1.17</v>
      </c>
      <c r="AK62" t="s">
        <v>98</v>
      </c>
      <c r="AM62" t="s">
        <v>98</v>
      </c>
      <c r="AN62" t="s">
        <v>98</v>
      </c>
      <c r="AO62" t="s">
        <v>98</v>
      </c>
      <c r="AP62" t="s">
        <v>99</v>
      </c>
      <c r="AQ62" t="s">
        <v>102</v>
      </c>
      <c r="AV62" t="s">
        <v>98</v>
      </c>
      <c r="AX62" t="s">
        <v>311</v>
      </c>
      <c r="BF62" t="s">
        <v>312</v>
      </c>
      <c r="BG62" t="s">
        <v>98</v>
      </c>
      <c r="BH62" t="s">
        <v>98</v>
      </c>
      <c r="BI62" t="s">
        <v>98</v>
      </c>
      <c r="CB62" t="s">
        <v>311</v>
      </c>
      <c r="CL62" t="s">
        <v>98</v>
      </c>
      <c r="CM62" t="s">
        <v>98</v>
      </c>
      <c r="CP62" s="1">
        <v>43595</v>
      </c>
    </row>
    <row r="63" spans="1:94" x14ac:dyDescent="0.25">
      <c r="A63" s="4" t="s">
        <v>313</v>
      </c>
      <c r="B63" t="str">
        <f xml:space="preserve"> "" &amp; 706411030451</f>
        <v>706411030451</v>
      </c>
      <c r="C63" t="s">
        <v>309</v>
      </c>
      <c r="D63" t="s">
        <v>4405</v>
      </c>
      <c r="F63" t="s">
        <v>135</v>
      </c>
      <c r="G63">
        <v>1</v>
      </c>
      <c r="H63">
        <v>1</v>
      </c>
      <c r="I63" t="s">
        <v>97</v>
      </c>
      <c r="J63" s="32">
        <v>10.95</v>
      </c>
      <c r="K63" s="32">
        <v>32.85</v>
      </c>
      <c r="L63">
        <v>0</v>
      </c>
      <c r="N63">
        <v>0</v>
      </c>
      <c r="S63">
        <v>2.75</v>
      </c>
      <c r="T63">
        <v>4.75</v>
      </c>
      <c r="U63">
        <v>4.75</v>
      </c>
      <c r="W63">
        <v>1.08</v>
      </c>
      <c r="X63">
        <v>1</v>
      </c>
      <c r="Y63">
        <v>2.75</v>
      </c>
      <c r="Z63">
        <v>4.75</v>
      </c>
      <c r="AA63">
        <v>4.75</v>
      </c>
      <c r="AB63">
        <v>3.5999999999999997E-2</v>
      </c>
      <c r="AC63">
        <v>1.17</v>
      </c>
      <c r="AK63" t="s">
        <v>98</v>
      </c>
      <c r="AM63" t="s">
        <v>98</v>
      </c>
      <c r="AN63" t="s">
        <v>98</v>
      </c>
      <c r="AO63" t="s">
        <v>98</v>
      </c>
      <c r="AP63" t="s">
        <v>99</v>
      </c>
      <c r="AQ63" t="s">
        <v>102</v>
      </c>
      <c r="AV63" t="s">
        <v>98</v>
      </c>
      <c r="AX63" t="s">
        <v>136</v>
      </c>
      <c r="BF63" t="s">
        <v>314</v>
      </c>
      <c r="BG63" t="s">
        <v>98</v>
      </c>
      <c r="BH63" t="s">
        <v>98</v>
      </c>
      <c r="BI63" t="s">
        <v>98</v>
      </c>
      <c r="BK63" t="s">
        <v>138</v>
      </c>
      <c r="CA63" t="s">
        <v>315</v>
      </c>
      <c r="CB63" t="s">
        <v>136</v>
      </c>
      <c r="CL63" t="s">
        <v>98</v>
      </c>
      <c r="CM63" t="s">
        <v>98</v>
      </c>
      <c r="CN63" t="s">
        <v>156</v>
      </c>
      <c r="CO63" s="1">
        <v>38545</v>
      </c>
      <c r="CP63" s="1">
        <v>43595</v>
      </c>
    </row>
    <row r="64" spans="1:94" x14ac:dyDescent="0.25">
      <c r="A64" s="4" t="s">
        <v>316</v>
      </c>
      <c r="B64" t="str">
        <f xml:space="preserve"> "" &amp; 706411030468</f>
        <v>706411030468</v>
      </c>
      <c r="C64" t="s">
        <v>309</v>
      </c>
      <c r="D64" t="s">
        <v>4404</v>
      </c>
      <c r="F64" t="s">
        <v>135</v>
      </c>
      <c r="G64">
        <v>1</v>
      </c>
      <c r="H64">
        <v>1</v>
      </c>
      <c r="I64" t="s">
        <v>97</v>
      </c>
      <c r="J64" s="32">
        <v>10.95</v>
      </c>
      <c r="K64" s="32">
        <v>32.85</v>
      </c>
      <c r="L64">
        <v>0</v>
      </c>
      <c r="N64">
        <v>0</v>
      </c>
      <c r="S64">
        <v>2.75</v>
      </c>
      <c r="T64">
        <v>4.75</v>
      </c>
      <c r="U64">
        <v>4.75</v>
      </c>
      <c r="W64">
        <v>1.08</v>
      </c>
      <c r="X64">
        <v>1</v>
      </c>
      <c r="Y64">
        <v>2.75</v>
      </c>
      <c r="Z64">
        <v>4.75</v>
      </c>
      <c r="AA64">
        <v>4.75</v>
      </c>
      <c r="AB64">
        <v>3.5999999999999997E-2</v>
      </c>
      <c r="AC64">
        <v>1.17</v>
      </c>
      <c r="AK64" t="s">
        <v>98</v>
      </c>
      <c r="AM64" t="s">
        <v>98</v>
      </c>
      <c r="AN64" t="s">
        <v>98</v>
      </c>
      <c r="AO64" t="s">
        <v>98</v>
      </c>
      <c r="AP64" t="s">
        <v>99</v>
      </c>
      <c r="AQ64" t="s">
        <v>102</v>
      </c>
      <c r="AV64" t="s">
        <v>98</v>
      </c>
      <c r="AX64" t="s">
        <v>317</v>
      </c>
      <c r="BF64" t="s">
        <v>318</v>
      </c>
      <c r="BG64" t="s">
        <v>98</v>
      </c>
      <c r="BH64" t="s">
        <v>98</v>
      </c>
      <c r="BI64" t="s">
        <v>98</v>
      </c>
      <c r="BK64" t="s">
        <v>138</v>
      </c>
      <c r="CB64" t="s">
        <v>317</v>
      </c>
      <c r="CL64" t="s">
        <v>98</v>
      </c>
      <c r="CM64" t="s">
        <v>98</v>
      </c>
      <c r="CO64" s="1">
        <v>38545</v>
      </c>
      <c r="CP64" s="1">
        <v>43595</v>
      </c>
    </row>
    <row r="65" spans="1:94" x14ac:dyDescent="0.25">
      <c r="A65" s="4" t="s">
        <v>319</v>
      </c>
      <c r="B65" t="str">
        <f xml:space="preserve"> "" &amp; 706411034879</f>
        <v>706411034879</v>
      </c>
      <c r="C65" t="s">
        <v>309</v>
      </c>
      <c r="D65" t="s">
        <v>320</v>
      </c>
      <c r="F65" t="s">
        <v>135</v>
      </c>
      <c r="G65">
        <v>1</v>
      </c>
      <c r="H65">
        <v>1</v>
      </c>
      <c r="I65" t="s">
        <v>97</v>
      </c>
      <c r="J65" s="32">
        <v>10.95</v>
      </c>
      <c r="K65" s="32">
        <v>32.85</v>
      </c>
      <c r="L65">
        <v>0</v>
      </c>
      <c r="N65">
        <v>0</v>
      </c>
      <c r="S65">
        <v>2.75</v>
      </c>
      <c r="T65">
        <v>4.75</v>
      </c>
      <c r="U65">
        <v>4.75</v>
      </c>
      <c r="W65">
        <v>1.08</v>
      </c>
      <c r="X65">
        <v>1</v>
      </c>
      <c r="Y65">
        <v>2.75</v>
      </c>
      <c r="Z65">
        <v>4.75</v>
      </c>
      <c r="AA65">
        <v>4.75</v>
      </c>
      <c r="AB65">
        <v>3.5999999999999997E-2</v>
      </c>
      <c r="AC65">
        <v>1.17</v>
      </c>
      <c r="AK65" t="s">
        <v>98</v>
      </c>
      <c r="AM65" t="s">
        <v>98</v>
      </c>
      <c r="AN65" t="s">
        <v>98</v>
      </c>
      <c r="AO65" t="s">
        <v>98</v>
      </c>
      <c r="AP65" t="s">
        <v>99</v>
      </c>
      <c r="AQ65" t="s">
        <v>102</v>
      </c>
      <c r="AV65" t="s">
        <v>98</v>
      </c>
      <c r="AX65" t="s">
        <v>142</v>
      </c>
      <c r="BF65" t="s">
        <v>321</v>
      </c>
      <c r="BG65" t="s">
        <v>98</v>
      </c>
      <c r="BH65" t="s">
        <v>98</v>
      </c>
      <c r="BI65" t="s">
        <v>98</v>
      </c>
      <c r="BK65" t="s">
        <v>138</v>
      </c>
      <c r="CA65" t="s">
        <v>315</v>
      </c>
      <c r="CB65" t="s">
        <v>142</v>
      </c>
      <c r="CL65" t="s">
        <v>98</v>
      </c>
      <c r="CM65" t="s">
        <v>98</v>
      </c>
      <c r="CN65" t="s">
        <v>156</v>
      </c>
      <c r="CO65" s="1">
        <v>39728</v>
      </c>
      <c r="CP65" s="1">
        <v>43595</v>
      </c>
    </row>
    <row r="66" spans="1:94" x14ac:dyDescent="0.25">
      <c r="A66" s="4" t="s">
        <v>322</v>
      </c>
      <c r="B66" t="str">
        <f xml:space="preserve"> "" &amp; 706411036002</f>
        <v>706411036002</v>
      </c>
      <c r="C66" t="s">
        <v>309</v>
      </c>
      <c r="D66" t="s">
        <v>323</v>
      </c>
      <c r="F66" t="s">
        <v>135</v>
      </c>
      <c r="G66">
        <v>1</v>
      </c>
      <c r="H66">
        <v>1</v>
      </c>
      <c r="I66" t="s">
        <v>97</v>
      </c>
      <c r="J66" s="32">
        <v>10.95</v>
      </c>
      <c r="K66" s="32">
        <v>32.85</v>
      </c>
      <c r="L66">
        <v>0</v>
      </c>
      <c r="N66">
        <v>0</v>
      </c>
      <c r="S66">
        <v>2.75</v>
      </c>
      <c r="T66">
        <v>4.75</v>
      </c>
      <c r="U66">
        <v>4.75</v>
      </c>
      <c r="W66">
        <v>1.08</v>
      </c>
      <c r="X66">
        <v>1</v>
      </c>
      <c r="Y66">
        <v>2.75</v>
      </c>
      <c r="Z66">
        <v>4.75</v>
      </c>
      <c r="AA66">
        <v>4.75</v>
      </c>
      <c r="AB66">
        <v>3.5999999999999997E-2</v>
      </c>
      <c r="AC66">
        <v>1.17</v>
      </c>
      <c r="AK66" t="s">
        <v>98</v>
      </c>
      <c r="AM66" t="s">
        <v>98</v>
      </c>
      <c r="AN66" t="s">
        <v>98</v>
      </c>
      <c r="AO66" t="s">
        <v>98</v>
      </c>
      <c r="AP66" t="s">
        <v>99</v>
      </c>
      <c r="AQ66" t="s">
        <v>102</v>
      </c>
      <c r="AV66" t="s">
        <v>98</v>
      </c>
      <c r="AX66" t="s">
        <v>146</v>
      </c>
      <c r="BF66" t="s">
        <v>324</v>
      </c>
      <c r="BG66" t="s">
        <v>98</v>
      </c>
      <c r="BH66" t="s">
        <v>98</v>
      </c>
      <c r="BI66" t="s">
        <v>98</v>
      </c>
      <c r="BK66" t="s">
        <v>138</v>
      </c>
      <c r="CA66" t="s">
        <v>315</v>
      </c>
      <c r="CB66" t="s">
        <v>146</v>
      </c>
      <c r="CL66" t="s">
        <v>98</v>
      </c>
      <c r="CM66" t="s">
        <v>98</v>
      </c>
      <c r="CN66" t="s">
        <v>156</v>
      </c>
      <c r="CO66" s="1">
        <v>39728</v>
      </c>
      <c r="CP66" s="1">
        <v>43595</v>
      </c>
    </row>
    <row r="67" spans="1:94" x14ac:dyDescent="0.25">
      <c r="A67" s="4" t="s">
        <v>325</v>
      </c>
      <c r="B67" t="str">
        <f xml:space="preserve"> "" &amp; 706411030475</f>
        <v>706411030475</v>
      </c>
      <c r="C67" t="s">
        <v>309</v>
      </c>
      <c r="D67" t="s">
        <v>326</v>
      </c>
      <c r="F67" t="s">
        <v>135</v>
      </c>
      <c r="G67">
        <v>1</v>
      </c>
      <c r="H67">
        <v>1</v>
      </c>
      <c r="I67" t="s">
        <v>97</v>
      </c>
      <c r="J67" s="32">
        <v>10.95</v>
      </c>
      <c r="K67" s="32">
        <v>32.85</v>
      </c>
      <c r="L67">
        <v>0</v>
      </c>
      <c r="N67">
        <v>0</v>
      </c>
      <c r="S67">
        <v>2.75</v>
      </c>
      <c r="T67">
        <v>4.75</v>
      </c>
      <c r="U67">
        <v>4.75</v>
      </c>
      <c r="W67">
        <v>1.08</v>
      </c>
      <c r="X67">
        <v>1</v>
      </c>
      <c r="Y67">
        <v>2.75</v>
      </c>
      <c r="Z67">
        <v>4.75</v>
      </c>
      <c r="AA67">
        <v>4.75</v>
      </c>
      <c r="AB67">
        <v>3.5999999999999997E-2</v>
      </c>
      <c r="AC67">
        <v>1.17</v>
      </c>
      <c r="AK67" t="s">
        <v>98</v>
      </c>
      <c r="AM67" t="s">
        <v>98</v>
      </c>
      <c r="AN67" t="s">
        <v>98</v>
      </c>
      <c r="AO67" t="s">
        <v>98</v>
      </c>
      <c r="AP67" t="s">
        <v>99</v>
      </c>
      <c r="AQ67" t="s">
        <v>102</v>
      </c>
      <c r="AV67" t="s">
        <v>98</v>
      </c>
      <c r="AX67" t="s">
        <v>150</v>
      </c>
      <c r="BF67" t="s">
        <v>327</v>
      </c>
      <c r="BG67" t="s">
        <v>98</v>
      </c>
      <c r="BH67" t="s">
        <v>98</v>
      </c>
      <c r="BI67" t="s">
        <v>98</v>
      </c>
      <c r="BK67" t="s">
        <v>138</v>
      </c>
      <c r="CA67" t="s">
        <v>315</v>
      </c>
      <c r="CB67" t="s">
        <v>150</v>
      </c>
      <c r="CL67" t="s">
        <v>98</v>
      </c>
      <c r="CM67" t="s">
        <v>98</v>
      </c>
      <c r="CN67" t="s">
        <v>156</v>
      </c>
      <c r="CO67" s="1">
        <v>38545</v>
      </c>
      <c r="CP67" s="1">
        <v>43595</v>
      </c>
    </row>
    <row r="68" spans="1:94" x14ac:dyDescent="0.25">
      <c r="A68" s="4" t="s">
        <v>328</v>
      </c>
      <c r="B68" t="str">
        <f xml:space="preserve"> "" &amp; 706411056710</f>
        <v>706411056710</v>
      </c>
      <c r="C68" t="s">
        <v>309</v>
      </c>
      <c r="D68" t="s">
        <v>329</v>
      </c>
      <c r="F68" t="s">
        <v>135</v>
      </c>
      <c r="G68">
        <v>1</v>
      </c>
      <c r="H68">
        <v>1</v>
      </c>
      <c r="I68" t="s">
        <v>97</v>
      </c>
      <c r="J68" s="32">
        <v>10.95</v>
      </c>
      <c r="K68" s="32">
        <v>32.85</v>
      </c>
      <c r="L68">
        <v>0</v>
      </c>
      <c r="N68">
        <v>0</v>
      </c>
      <c r="S68">
        <v>2.75</v>
      </c>
      <c r="T68">
        <v>4.75</v>
      </c>
      <c r="U68">
        <v>4.75</v>
      </c>
      <c r="W68">
        <v>1.08</v>
      </c>
      <c r="X68">
        <v>1</v>
      </c>
      <c r="Y68">
        <v>2.75</v>
      </c>
      <c r="Z68">
        <v>4.75</v>
      </c>
      <c r="AA68">
        <v>4.75</v>
      </c>
      <c r="AB68">
        <v>3.5999999999999997E-2</v>
      </c>
      <c r="AC68">
        <v>1.17</v>
      </c>
      <c r="AK68" t="s">
        <v>98</v>
      </c>
      <c r="AM68" t="s">
        <v>98</v>
      </c>
      <c r="AN68" t="s">
        <v>98</v>
      </c>
      <c r="AO68" t="s">
        <v>98</v>
      </c>
      <c r="AP68" t="s">
        <v>99</v>
      </c>
      <c r="AQ68" t="s">
        <v>102</v>
      </c>
      <c r="AV68" t="s">
        <v>98</v>
      </c>
      <c r="AX68" t="s">
        <v>154</v>
      </c>
      <c r="BF68" t="s">
        <v>330</v>
      </c>
      <c r="BG68" t="s">
        <v>98</v>
      </c>
      <c r="BH68" t="s">
        <v>98</v>
      </c>
      <c r="BI68" t="s">
        <v>98</v>
      </c>
      <c r="BK68" t="s">
        <v>138</v>
      </c>
      <c r="CA68" t="s">
        <v>315</v>
      </c>
      <c r="CB68" t="s">
        <v>154</v>
      </c>
      <c r="CL68" t="s">
        <v>98</v>
      </c>
      <c r="CM68" t="s">
        <v>98</v>
      </c>
      <c r="CN68" t="s">
        <v>156</v>
      </c>
      <c r="CO68" s="1">
        <v>42858</v>
      </c>
      <c r="CP68" s="1">
        <v>43595</v>
      </c>
    </row>
    <row r="69" spans="1:94" x14ac:dyDescent="0.25">
      <c r="A69" s="4" t="s">
        <v>331</v>
      </c>
      <c r="B69" t="str">
        <f xml:space="preserve"> "" &amp; 706411030482</f>
        <v>706411030482</v>
      </c>
      <c r="C69" t="s">
        <v>309</v>
      </c>
      <c r="D69" t="s">
        <v>332</v>
      </c>
      <c r="F69" t="s">
        <v>135</v>
      </c>
      <c r="G69">
        <v>1</v>
      </c>
      <c r="H69">
        <v>1</v>
      </c>
      <c r="I69" t="s">
        <v>97</v>
      </c>
      <c r="J69" s="32">
        <v>10.95</v>
      </c>
      <c r="K69" s="32">
        <v>32.85</v>
      </c>
      <c r="L69">
        <v>0</v>
      </c>
      <c r="N69">
        <v>0</v>
      </c>
      <c r="S69">
        <v>2.75</v>
      </c>
      <c r="T69">
        <v>4.75</v>
      </c>
      <c r="U69">
        <v>4.75</v>
      </c>
      <c r="W69">
        <v>1.08</v>
      </c>
      <c r="X69">
        <v>1</v>
      </c>
      <c r="Y69">
        <v>2.75</v>
      </c>
      <c r="Z69">
        <v>4.75</v>
      </c>
      <c r="AA69">
        <v>4.75</v>
      </c>
      <c r="AB69">
        <v>3.5999999999999997E-2</v>
      </c>
      <c r="AC69">
        <v>1.17</v>
      </c>
      <c r="AK69" t="s">
        <v>98</v>
      </c>
      <c r="AM69" t="s">
        <v>98</v>
      </c>
      <c r="AN69" t="s">
        <v>98</v>
      </c>
      <c r="AO69" t="s">
        <v>98</v>
      </c>
      <c r="AP69" t="s">
        <v>99</v>
      </c>
      <c r="AQ69" t="s">
        <v>102</v>
      </c>
      <c r="AV69" t="s">
        <v>98</v>
      </c>
      <c r="AX69" t="s">
        <v>159</v>
      </c>
      <c r="BF69" t="s">
        <v>333</v>
      </c>
      <c r="BG69" t="s">
        <v>98</v>
      </c>
      <c r="BH69" t="s">
        <v>98</v>
      </c>
      <c r="BI69" t="s">
        <v>98</v>
      </c>
      <c r="BK69" t="s">
        <v>138</v>
      </c>
      <c r="CA69" t="s">
        <v>315</v>
      </c>
      <c r="CB69" t="s">
        <v>159</v>
      </c>
      <c r="CL69" t="s">
        <v>98</v>
      </c>
      <c r="CM69" t="s">
        <v>98</v>
      </c>
      <c r="CN69" t="s">
        <v>156</v>
      </c>
      <c r="CO69" s="1">
        <v>38545</v>
      </c>
      <c r="CP69" s="1">
        <v>43595</v>
      </c>
    </row>
    <row r="70" spans="1:94" x14ac:dyDescent="0.25">
      <c r="A70" s="4" t="s">
        <v>334</v>
      </c>
      <c r="B70" t="str">
        <f xml:space="preserve"> "" &amp; 706411030499</f>
        <v>706411030499</v>
      </c>
      <c r="C70" t="s">
        <v>309</v>
      </c>
      <c r="D70" t="s">
        <v>335</v>
      </c>
      <c r="F70" t="s">
        <v>135</v>
      </c>
      <c r="G70">
        <v>1</v>
      </c>
      <c r="H70">
        <v>1</v>
      </c>
      <c r="I70" t="s">
        <v>97</v>
      </c>
      <c r="J70" s="32">
        <v>10.95</v>
      </c>
      <c r="K70" s="32">
        <v>32.85</v>
      </c>
      <c r="L70">
        <v>0</v>
      </c>
      <c r="N70">
        <v>0</v>
      </c>
      <c r="S70">
        <v>2.75</v>
      </c>
      <c r="T70">
        <v>4.75</v>
      </c>
      <c r="U70">
        <v>4.75</v>
      </c>
      <c r="W70">
        <v>1.08</v>
      </c>
      <c r="X70">
        <v>1</v>
      </c>
      <c r="Y70">
        <v>2.75</v>
      </c>
      <c r="Z70">
        <v>4.75</v>
      </c>
      <c r="AA70">
        <v>4.75</v>
      </c>
      <c r="AB70">
        <v>3.5999999999999997E-2</v>
      </c>
      <c r="AC70">
        <v>1.17</v>
      </c>
      <c r="AK70" t="s">
        <v>98</v>
      </c>
      <c r="AM70" t="s">
        <v>98</v>
      </c>
      <c r="AN70" t="s">
        <v>98</v>
      </c>
      <c r="AO70" t="s">
        <v>98</v>
      </c>
      <c r="AP70" t="s">
        <v>99</v>
      </c>
      <c r="AQ70" t="s">
        <v>102</v>
      </c>
      <c r="AV70" t="s">
        <v>98</v>
      </c>
      <c r="AX70" t="s">
        <v>163</v>
      </c>
      <c r="BF70" t="s">
        <v>336</v>
      </c>
      <c r="BG70" t="s">
        <v>98</v>
      </c>
      <c r="BH70" t="s">
        <v>98</v>
      </c>
      <c r="BI70" t="s">
        <v>98</v>
      </c>
      <c r="BK70" t="s">
        <v>138</v>
      </c>
      <c r="CA70" t="s">
        <v>315</v>
      </c>
      <c r="CB70" t="s">
        <v>163</v>
      </c>
      <c r="CL70" t="s">
        <v>98</v>
      </c>
      <c r="CM70" t="s">
        <v>98</v>
      </c>
      <c r="CN70" t="s">
        <v>156</v>
      </c>
      <c r="CO70" s="1">
        <v>38545</v>
      </c>
      <c r="CP70" s="1">
        <v>43595</v>
      </c>
    </row>
    <row r="71" spans="1:94" x14ac:dyDescent="0.25">
      <c r="A71" s="4" t="s">
        <v>337</v>
      </c>
      <c r="B71" t="str">
        <f xml:space="preserve"> "" &amp; 706411044502</f>
        <v>706411044502</v>
      </c>
      <c r="C71" t="s">
        <v>309</v>
      </c>
      <c r="D71" t="s">
        <v>338</v>
      </c>
      <c r="F71" t="s">
        <v>135</v>
      </c>
      <c r="G71">
        <v>1</v>
      </c>
      <c r="H71">
        <v>1</v>
      </c>
      <c r="I71" t="s">
        <v>97</v>
      </c>
      <c r="J71" s="32">
        <v>10.95</v>
      </c>
      <c r="K71" s="32">
        <v>32.85</v>
      </c>
      <c r="L71">
        <v>0</v>
      </c>
      <c r="N71">
        <v>0</v>
      </c>
      <c r="S71">
        <v>2.75</v>
      </c>
      <c r="T71">
        <v>4.75</v>
      </c>
      <c r="U71">
        <v>4.75</v>
      </c>
      <c r="W71">
        <v>1.08</v>
      </c>
      <c r="X71">
        <v>1</v>
      </c>
      <c r="Y71">
        <v>2.75</v>
      </c>
      <c r="Z71">
        <v>4.75</v>
      </c>
      <c r="AA71">
        <v>4.75</v>
      </c>
      <c r="AB71">
        <v>3.5999999999999997E-2</v>
      </c>
      <c r="AC71">
        <v>1.17</v>
      </c>
      <c r="AK71" t="s">
        <v>98</v>
      </c>
      <c r="AM71" t="s">
        <v>98</v>
      </c>
      <c r="AN71" t="s">
        <v>98</v>
      </c>
      <c r="AO71" t="s">
        <v>98</v>
      </c>
      <c r="AP71" t="s">
        <v>99</v>
      </c>
      <c r="AQ71" t="s">
        <v>102</v>
      </c>
      <c r="AV71" t="s">
        <v>98</v>
      </c>
      <c r="AX71" t="s">
        <v>167</v>
      </c>
      <c r="BF71" t="s">
        <v>339</v>
      </c>
      <c r="BG71" t="s">
        <v>98</v>
      </c>
      <c r="BH71" t="s">
        <v>98</v>
      </c>
      <c r="BI71" t="s">
        <v>98</v>
      </c>
      <c r="BK71" t="s">
        <v>138</v>
      </c>
      <c r="CA71" t="s">
        <v>315</v>
      </c>
      <c r="CB71" t="s">
        <v>167</v>
      </c>
      <c r="CL71" t="s">
        <v>98</v>
      </c>
      <c r="CM71" t="s">
        <v>98</v>
      </c>
      <c r="CN71" t="s">
        <v>156</v>
      </c>
      <c r="CP71" s="1">
        <v>43595</v>
      </c>
    </row>
    <row r="72" spans="1:94" x14ac:dyDescent="0.25">
      <c r="A72" s="4" t="s">
        <v>340</v>
      </c>
      <c r="B72" t="str">
        <f xml:space="preserve"> "" &amp; 706411043543</f>
        <v>706411043543</v>
      </c>
      <c r="C72" t="s">
        <v>309</v>
      </c>
      <c r="D72" t="s">
        <v>341</v>
      </c>
      <c r="F72" t="s">
        <v>135</v>
      </c>
      <c r="G72">
        <v>1</v>
      </c>
      <c r="H72">
        <v>1</v>
      </c>
      <c r="I72" t="s">
        <v>97</v>
      </c>
      <c r="J72" s="32">
        <v>10.95</v>
      </c>
      <c r="K72" s="32">
        <v>32.85</v>
      </c>
      <c r="L72">
        <v>0</v>
      </c>
      <c r="N72">
        <v>0</v>
      </c>
      <c r="S72">
        <v>2.75</v>
      </c>
      <c r="T72">
        <v>4.75</v>
      </c>
      <c r="U72">
        <v>4.75</v>
      </c>
      <c r="W72">
        <v>1.08</v>
      </c>
      <c r="X72">
        <v>1</v>
      </c>
      <c r="Y72">
        <v>2.75</v>
      </c>
      <c r="Z72">
        <v>4.75</v>
      </c>
      <c r="AA72">
        <v>4.75</v>
      </c>
      <c r="AB72">
        <v>3.5999999999999997E-2</v>
      </c>
      <c r="AC72">
        <v>1.17</v>
      </c>
      <c r="AK72" t="s">
        <v>98</v>
      </c>
      <c r="AM72" t="s">
        <v>98</v>
      </c>
      <c r="AN72" t="s">
        <v>98</v>
      </c>
      <c r="AO72" t="s">
        <v>98</v>
      </c>
      <c r="AP72" t="s">
        <v>99</v>
      </c>
      <c r="AQ72" t="s">
        <v>102</v>
      </c>
      <c r="AV72" t="s">
        <v>98</v>
      </c>
      <c r="AX72" t="s">
        <v>171</v>
      </c>
      <c r="BF72" t="s">
        <v>342</v>
      </c>
      <c r="BG72" t="s">
        <v>98</v>
      </c>
      <c r="BH72" t="s">
        <v>98</v>
      </c>
      <c r="BI72" t="s">
        <v>98</v>
      </c>
      <c r="CB72" t="s">
        <v>171</v>
      </c>
      <c r="CL72" t="s">
        <v>98</v>
      </c>
      <c r="CM72" t="s">
        <v>98</v>
      </c>
      <c r="CP72" s="1">
        <v>43595</v>
      </c>
    </row>
    <row r="73" spans="1:94" x14ac:dyDescent="0.25">
      <c r="A73" s="4" t="s">
        <v>343</v>
      </c>
      <c r="B73" t="str">
        <f xml:space="preserve"> "" &amp; 706411035081</f>
        <v>706411035081</v>
      </c>
      <c r="C73" t="s">
        <v>309</v>
      </c>
      <c r="D73" t="s">
        <v>344</v>
      </c>
      <c r="F73" t="s">
        <v>135</v>
      </c>
      <c r="G73">
        <v>1</v>
      </c>
      <c r="H73">
        <v>1</v>
      </c>
      <c r="I73" t="s">
        <v>97</v>
      </c>
      <c r="J73" s="32">
        <v>10.95</v>
      </c>
      <c r="K73" s="32">
        <v>32.85</v>
      </c>
      <c r="L73">
        <v>0</v>
      </c>
      <c r="N73">
        <v>0</v>
      </c>
      <c r="S73">
        <v>2.75</v>
      </c>
      <c r="T73">
        <v>4.75</v>
      </c>
      <c r="U73">
        <v>4.75</v>
      </c>
      <c r="W73">
        <v>1.08</v>
      </c>
      <c r="X73">
        <v>1</v>
      </c>
      <c r="Y73">
        <v>2.75</v>
      </c>
      <c r="Z73">
        <v>4.75</v>
      </c>
      <c r="AA73">
        <v>4.75</v>
      </c>
      <c r="AB73">
        <v>3.5999999999999997E-2</v>
      </c>
      <c r="AC73">
        <v>1.17</v>
      </c>
      <c r="AK73" t="s">
        <v>98</v>
      </c>
      <c r="AM73" t="s">
        <v>98</v>
      </c>
      <c r="AN73" t="s">
        <v>98</v>
      </c>
      <c r="AO73" t="s">
        <v>98</v>
      </c>
      <c r="AP73" t="s">
        <v>99</v>
      </c>
      <c r="AQ73" t="s">
        <v>102</v>
      </c>
      <c r="AV73" t="s">
        <v>98</v>
      </c>
      <c r="AX73" t="s">
        <v>175</v>
      </c>
      <c r="BF73" t="s">
        <v>345</v>
      </c>
      <c r="BG73" t="s">
        <v>98</v>
      </c>
      <c r="BH73" t="s">
        <v>98</v>
      </c>
      <c r="BI73" t="s">
        <v>98</v>
      </c>
      <c r="BK73" t="s">
        <v>138</v>
      </c>
      <c r="CA73" t="s">
        <v>315</v>
      </c>
      <c r="CB73" t="s">
        <v>175</v>
      </c>
      <c r="CL73" t="s">
        <v>98</v>
      </c>
      <c r="CM73" t="s">
        <v>98</v>
      </c>
      <c r="CN73" t="s">
        <v>156</v>
      </c>
      <c r="CO73" s="1">
        <v>39728</v>
      </c>
      <c r="CP73" s="1">
        <v>43595</v>
      </c>
    </row>
    <row r="74" spans="1:94" x14ac:dyDescent="0.25">
      <c r="A74" s="4" t="s">
        <v>346</v>
      </c>
      <c r="B74" t="str">
        <f xml:space="preserve"> "" &amp; 706411061066</f>
        <v>706411061066</v>
      </c>
      <c r="C74" t="s">
        <v>309</v>
      </c>
      <c r="D74" t="s">
        <v>347</v>
      </c>
      <c r="F74" t="s">
        <v>135</v>
      </c>
      <c r="G74">
        <v>1</v>
      </c>
      <c r="H74">
        <v>1</v>
      </c>
      <c r="I74" t="s">
        <v>97</v>
      </c>
      <c r="J74" s="32">
        <v>10.95</v>
      </c>
      <c r="K74" s="32">
        <v>32.85</v>
      </c>
      <c r="L74">
        <v>0</v>
      </c>
      <c r="N74">
        <v>0</v>
      </c>
      <c r="S74">
        <v>2.75</v>
      </c>
      <c r="T74">
        <v>4.75</v>
      </c>
      <c r="U74">
        <v>4.75</v>
      </c>
      <c r="W74">
        <v>1.08</v>
      </c>
      <c r="X74">
        <v>1</v>
      </c>
      <c r="Y74">
        <v>2.75</v>
      </c>
      <c r="Z74">
        <v>4.75</v>
      </c>
      <c r="AA74">
        <v>4.75</v>
      </c>
      <c r="AB74">
        <v>3.5999999999999997E-2</v>
      </c>
      <c r="AC74">
        <v>1.17</v>
      </c>
      <c r="AK74" t="s">
        <v>98</v>
      </c>
      <c r="AM74" t="s">
        <v>98</v>
      </c>
      <c r="AN74" t="s">
        <v>98</v>
      </c>
      <c r="AO74" t="s">
        <v>98</v>
      </c>
      <c r="AP74" t="s">
        <v>99</v>
      </c>
      <c r="AQ74" t="s">
        <v>102</v>
      </c>
      <c r="AV74" t="s">
        <v>98</v>
      </c>
      <c r="AX74" t="s">
        <v>179</v>
      </c>
      <c r="BF74" t="s">
        <v>348</v>
      </c>
      <c r="BG74" t="s">
        <v>98</v>
      </c>
      <c r="BH74" t="s">
        <v>98</v>
      </c>
      <c r="BI74" t="s">
        <v>98</v>
      </c>
      <c r="BK74" t="s">
        <v>138</v>
      </c>
      <c r="CB74" t="s">
        <v>179</v>
      </c>
      <c r="CL74" t="s">
        <v>98</v>
      </c>
      <c r="CM74" t="s">
        <v>98</v>
      </c>
      <c r="CN74" t="s">
        <v>349</v>
      </c>
      <c r="CO74" s="1">
        <v>43396</v>
      </c>
      <c r="CP74" s="1">
        <v>43595</v>
      </c>
    </row>
    <row r="75" spans="1:94" x14ac:dyDescent="0.25">
      <c r="A75" s="4" t="s">
        <v>350</v>
      </c>
      <c r="B75" t="str">
        <f xml:space="preserve"> "" &amp; 706411034909</f>
        <v>706411034909</v>
      </c>
      <c r="C75" t="s">
        <v>309</v>
      </c>
      <c r="D75" t="s">
        <v>351</v>
      </c>
      <c r="F75" t="s">
        <v>135</v>
      </c>
      <c r="G75">
        <v>1</v>
      </c>
      <c r="H75">
        <v>1</v>
      </c>
      <c r="I75" t="s">
        <v>97</v>
      </c>
      <c r="J75" s="32">
        <v>10.95</v>
      </c>
      <c r="K75" s="32">
        <v>32.85</v>
      </c>
      <c r="L75">
        <v>0</v>
      </c>
      <c r="N75">
        <v>0</v>
      </c>
      <c r="S75">
        <v>2.75</v>
      </c>
      <c r="T75">
        <v>4.75</v>
      </c>
      <c r="U75">
        <v>4.75</v>
      </c>
      <c r="W75">
        <v>1.08</v>
      </c>
      <c r="X75">
        <v>1</v>
      </c>
      <c r="Y75">
        <v>2.75</v>
      </c>
      <c r="Z75">
        <v>4.75</v>
      </c>
      <c r="AA75">
        <v>4.75</v>
      </c>
      <c r="AB75">
        <v>3.5999999999999997E-2</v>
      </c>
      <c r="AC75">
        <v>1.17</v>
      </c>
      <c r="AK75" t="s">
        <v>98</v>
      </c>
      <c r="AM75" t="s">
        <v>98</v>
      </c>
      <c r="AN75" t="s">
        <v>98</v>
      </c>
      <c r="AO75" t="s">
        <v>98</v>
      </c>
      <c r="AP75" t="s">
        <v>99</v>
      </c>
      <c r="AQ75" t="s">
        <v>102</v>
      </c>
      <c r="AV75" t="s">
        <v>98</v>
      </c>
      <c r="AX75" t="s">
        <v>183</v>
      </c>
      <c r="BF75" t="s">
        <v>352</v>
      </c>
      <c r="BG75" t="s">
        <v>98</v>
      </c>
      <c r="BH75" t="s">
        <v>98</v>
      </c>
      <c r="BI75" t="s">
        <v>98</v>
      </c>
      <c r="BK75" t="s">
        <v>138</v>
      </c>
      <c r="CA75" t="s">
        <v>315</v>
      </c>
      <c r="CB75" t="s">
        <v>183</v>
      </c>
      <c r="CL75" t="s">
        <v>98</v>
      </c>
      <c r="CM75" t="s">
        <v>98</v>
      </c>
      <c r="CN75" t="s">
        <v>156</v>
      </c>
      <c r="CO75" s="1">
        <v>39728</v>
      </c>
      <c r="CP75" s="1">
        <v>43595</v>
      </c>
    </row>
    <row r="76" spans="1:94" x14ac:dyDescent="0.25">
      <c r="A76" s="4" t="s">
        <v>353</v>
      </c>
      <c r="B76" t="str">
        <f xml:space="preserve"> "" &amp; 706411030680</f>
        <v>706411030680</v>
      </c>
      <c r="C76" t="s">
        <v>309</v>
      </c>
      <c r="D76" t="s">
        <v>4406</v>
      </c>
      <c r="F76" t="s">
        <v>135</v>
      </c>
      <c r="G76">
        <v>1</v>
      </c>
      <c r="H76">
        <v>1</v>
      </c>
      <c r="I76" t="s">
        <v>97</v>
      </c>
      <c r="J76" s="32">
        <v>10.95</v>
      </c>
      <c r="K76" s="32">
        <v>32.85</v>
      </c>
      <c r="L76">
        <v>0</v>
      </c>
      <c r="N76">
        <v>0</v>
      </c>
      <c r="S76">
        <v>2.75</v>
      </c>
      <c r="T76">
        <v>4.75</v>
      </c>
      <c r="U76">
        <v>4.75</v>
      </c>
      <c r="W76">
        <v>1.08</v>
      </c>
      <c r="X76">
        <v>1</v>
      </c>
      <c r="Y76">
        <v>2.75</v>
      </c>
      <c r="Z76">
        <v>4.75</v>
      </c>
      <c r="AA76">
        <v>4.75</v>
      </c>
      <c r="AB76">
        <v>3.5999999999999997E-2</v>
      </c>
      <c r="AC76">
        <v>1.17</v>
      </c>
      <c r="AK76" t="s">
        <v>98</v>
      </c>
      <c r="AM76" t="s">
        <v>98</v>
      </c>
      <c r="AN76" t="s">
        <v>98</v>
      </c>
      <c r="AO76" t="s">
        <v>98</v>
      </c>
      <c r="AP76" t="s">
        <v>99</v>
      </c>
      <c r="AQ76" t="s">
        <v>102</v>
      </c>
      <c r="AV76" t="s">
        <v>98</v>
      </c>
      <c r="AX76" t="s">
        <v>186</v>
      </c>
      <c r="BF76" t="s">
        <v>354</v>
      </c>
      <c r="BG76" t="s">
        <v>98</v>
      </c>
      <c r="BH76" t="s">
        <v>98</v>
      </c>
      <c r="BI76" t="s">
        <v>98</v>
      </c>
      <c r="BK76" t="s">
        <v>138</v>
      </c>
      <c r="CA76" t="s">
        <v>315</v>
      </c>
      <c r="CB76" t="s">
        <v>186</v>
      </c>
      <c r="CL76" t="s">
        <v>98</v>
      </c>
      <c r="CM76" t="s">
        <v>98</v>
      </c>
      <c r="CN76" t="s">
        <v>156</v>
      </c>
      <c r="CO76" s="1">
        <v>38545</v>
      </c>
      <c r="CP76" s="1">
        <v>43595</v>
      </c>
    </row>
    <row r="77" spans="1:94" x14ac:dyDescent="0.25">
      <c r="A77" s="4" t="s">
        <v>355</v>
      </c>
      <c r="B77" t="str">
        <f xml:space="preserve"> "" &amp; 706411038785</f>
        <v>706411038785</v>
      </c>
      <c r="C77" t="s">
        <v>309</v>
      </c>
      <c r="D77" t="s">
        <v>356</v>
      </c>
      <c r="F77" t="s">
        <v>135</v>
      </c>
      <c r="G77">
        <v>1</v>
      </c>
      <c r="H77">
        <v>1</v>
      </c>
      <c r="I77" t="s">
        <v>97</v>
      </c>
      <c r="J77" s="32">
        <v>10.95</v>
      </c>
      <c r="K77" s="32">
        <v>32.85</v>
      </c>
      <c r="L77">
        <v>0</v>
      </c>
      <c r="N77">
        <v>0</v>
      </c>
      <c r="S77">
        <v>2.75</v>
      </c>
      <c r="T77">
        <v>4.75</v>
      </c>
      <c r="U77">
        <v>4.75</v>
      </c>
      <c r="W77">
        <v>1.06</v>
      </c>
      <c r="X77">
        <v>1</v>
      </c>
      <c r="Y77">
        <v>2.75</v>
      </c>
      <c r="Z77">
        <v>4.75</v>
      </c>
      <c r="AA77">
        <v>4.75</v>
      </c>
      <c r="AB77">
        <v>3.5999999999999997E-2</v>
      </c>
      <c r="AC77">
        <v>1.17</v>
      </c>
      <c r="AK77" t="s">
        <v>98</v>
      </c>
      <c r="AM77" t="s">
        <v>98</v>
      </c>
      <c r="AN77" t="s">
        <v>98</v>
      </c>
      <c r="AO77" t="s">
        <v>98</v>
      </c>
      <c r="AP77" t="s">
        <v>99</v>
      </c>
      <c r="AQ77" t="s">
        <v>102</v>
      </c>
      <c r="AV77" t="s">
        <v>98</v>
      </c>
      <c r="AX77" t="s">
        <v>190</v>
      </c>
      <c r="BF77" t="s">
        <v>357</v>
      </c>
      <c r="BG77" t="s">
        <v>98</v>
      </c>
      <c r="BH77" t="s">
        <v>98</v>
      </c>
      <c r="BI77" t="s">
        <v>98</v>
      </c>
      <c r="BK77" t="s">
        <v>138</v>
      </c>
      <c r="CA77" t="s">
        <v>315</v>
      </c>
      <c r="CB77" t="s">
        <v>190</v>
      </c>
      <c r="CL77" t="s">
        <v>98</v>
      </c>
      <c r="CM77" t="s">
        <v>98</v>
      </c>
      <c r="CO77" s="1">
        <v>40240</v>
      </c>
      <c r="CP77" s="1">
        <v>43595</v>
      </c>
    </row>
    <row r="78" spans="1:94" x14ac:dyDescent="0.25">
      <c r="A78" s="4" t="s">
        <v>358</v>
      </c>
      <c r="B78" t="str">
        <f xml:space="preserve"> "" &amp; 706411030512</f>
        <v>706411030512</v>
      </c>
      <c r="C78" t="s">
        <v>309</v>
      </c>
      <c r="D78" t="s">
        <v>4407</v>
      </c>
      <c r="F78" t="s">
        <v>135</v>
      </c>
      <c r="G78">
        <v>1</v>
      </c>
      <c r="H78">
        <v>1</v>
      </c>
      <c r="I78" t="s">
        <v>97</v>
      </c>
      <c r="J78" s="32">
        <v>10.95</v>
      </c>
      <c r="K78" s="32">
        <v>32.85</v>
      </c>
      <c r="L78">
        <v>0</v>
      </c>
      <c r="N78">
        <v>0</v>
      </c>
      <c r="S78">
        <v>2.75</v>
      </c>
      <c r="T78">
        <v>4.75</v>
      </c>
      <c r="U78">
        <v>4.75</v>
      </c>
      <c r="W78">
        <v>1.08</v>
      </c>
      <c r="X78">
        <v>1</v>
      </c>
      <c r="Y78">
        <v>2.75</v>
      </c>
      <c r="Z78">
        <v>4.75</v>
      </c>
      <c r="AA78">
        <v>4.75</v>
      </c>
      <c r="AB78">
        <v>3.5999999999999997E-2</v>
      </c>
      <c r="AC78">
        <v>1.17</v>
      </c>
      <c r="AK78" t="s">
        <v>98</v>
      </c>
      <c r="AM78" t="s">
        <v>98</v>
      </c>
      <c r="AN78" t="s">
        <v>98</v>
      </c>
      <c r="AO78" t="s">
        <v>98</v>
      </c>
      <c r="AP78" t="s">
        <v>99</v>
      </c>
      <c r="AQ78" t="s">
        <v>102</v>
      </c>
      <c r="AV78" t="s">
        <v>98</v>
      </c>
      <c r="AX78" t="s">
        <v>193</v>
      </c>
      <c r="BF78" t="s">
        <v>359</v>
      </c>
      <c r="BG78" t="s">
        <v>98</v>
      </c>
      <c r="BH78" t="s">
        <v>98</v>
      </c>
      <c r="BI78" t="s">
        <v>98</v>
      </c>
      <c r="BK78" t="s">
        <v>138</v>
      </c>
      <c r="CB78" t="s">
        <v>193</v>
      </c>
      <c r="CL78" t="s">
        <v>98</v>
      </c>
      <c r="CM78" t="s">
        <v>98</v>
      </c>
      <c r="CN78" t="s">
        <v>156</v>
      </c>
      <c r="CO78" s="1">
        <v>38545</v>
      </c>
      <c r="CP78" s="1">
        <v>43595</v>
      </c>
    </row>
    <row r="79" spans="1:94" x14ac:dyDescent="0.25">
      <c r="A79" s="4" t="s">
        <v>360</v>
      </c>
      <c r="B79" t="str">
        <f xml:space="preserve"> "" &amp; 706411052279</f>
        <v>706411052279</v>
      </c>
      <c r="C79" t="s">
        <v>309</v>
      </c>
      <c r="D79" t="s">
        <v>361</v>
      </c>
      <c r="F79" t="s">
        <v>135</v>
      </c>
      <c r="G79">
        <v>1</v>
      </c>
      <c r="H79">
        <v>1</v>
      </c>
      <c r="I79" t="s">
        <v>97</v>
      </c>
      <c r="J79" s="32">
        <v>10.95</v>
      </c>
      <c r="K79" s="32">
        <v>32.85</v>
      </c>
      <c r="L79">
        <v>0</v>
      </c>
      <c r="N79">
        <v>0</v>
      </c>
      <c r="S79">
        <v>2.75</v>
      </c>
      <c r="T79">
        <v>4.75</v>
      </c>
      <c r="U79">
        <v>4.75</v>
      </c>
      <c r="W79">
        <v>1.08</v>
      </c>
      <c r="X79">
        <v>1</v>
      </c>
      <c r="Y79">
        <v>2.75</v>
      </c>
      <c r="Z79">
        <v>4.75</v>
      </c>
      <c r="AA79">
        <v>4.75</v>
      </c>
      <c r="AB79">
        <v>3.5999999999999997E-2</v>
      </c>
      <c r="AC79">
        <v>1.17</v>
      </c>
      <c r="AK79" t="s">
        <v>98</v>
      </c>
      <c r="AM79" t="s">
        <v>98</v>
      </c>
      <c r="AN79" t="s">
        <v>98</v>
      </c>
      <c r="AO79" t="s">
        <v>98</v>
      </c>
      <c r="AP79" t="s">
        <v>99</v>
      </c>
      <c r="AQ79" t="s">
        <v>102</v>
      </c>
      <c r="AV79" t="s">
        <v>98</v>
      </c>
      <c r="AX79" t="s">
        <v>197</v>
      </c>
      <c r="BF79" t="s">
        <v>362</v>
      </c>
      <c r="BG79" t="s">
        <v>98</v>
      </c>
      <c r="BH79" t="s">
        <v>98</v>
      </c>
      <c r="BI79" t="s">
        <v>98</v>
      </c>
      <c r="BJ79" t="s">
        <v>291</v>
      </c>
      <c r="BK79" t="s">
        <v>292</v>
      </c>
      <c r="CB79" t="s">
        <v>197</v>
      </c>
      <c r="CL79" t="s">
        <v>98</v>
      </c>
      <c r="CM79" t="s">
        <v>98</v>
      </c>
      <c r="CN79" t="s">
        <v>349</v>
      </c>
      <c r="CP79" s="1">
        <v>43595</v>
      </c>
    </row>
    <row r="80" spans="1:94" x14ac:dyDescent="0.25">
      <c r="A80" s="4" t="s">
        <v>363</v>
      </c>
      <c r="B80" t="str">
        <f xml:space="preserve"> "" &amp; 706411038792</f>
        <v>706411038792</v>
      </c>
      <c r="C80" t="s">
        <v>309</v>
      </c>
      <c r="D80" t="s">
        <v>364</v>
      </c>
      <c r="F80" t="s">
        <v>135</v>
      </c>
      <c r="G80">
        <v>1</v>
      </c>
      <c r="H80">
        <v>1</v>
      </c>
      <c r="I80" t="s">
        <v>97</v>
      </c>
      <c r="J80" s="32">
        <v>10.95</v>
      </c>
      <c r="K80" s="32">
        <v>32.85</v>
      </c>
      <c r="L80">
        <v>0</v>
      </c>
      <c r="N80">
        <v>0</v>
      </c>
      <c r="S80">
        <v>2.75</v>
      </c>
      <c r="T80">
        <v>4.75</v>
      </c>
      <c r="U80">
        <v>4.75</v>
      </c>
      <c r="W80">
        <v>1.08</v>
      </c>
      <c r="X80">
        <v>1</v>
      </c>
      <c r="Y80">
        <v>2.75</v>
      </c>
      <c r="Z80">
        <v>4.75</v>
      </c>
      <c r="AA80">
        <v>4.75</v>
      </c>
      <c r="AB80">
        <v>3.5999999999999997E-2</v>
      </c>
      <c r="AC80">
        <v>1.17</v>
      </c>
      <c r="AK80" t="s">
        <v>98</v>
      </c>
      <c r="AM80" t="s">
        <v>98</v>
      </c>
      <c r="AN80" t="s">
        <v>98</v>
      </c>
      <c r="AO80" t="s">
        <v>98</v>
      </c>
      <c r="AP80" t="s">
        <v>99</v>
      </c>
      <c r="AQ80" t="s">
        <v>102</v>
      </c>
      <c r="AV80" t="s">
        <v>98</v>
      </c>
      <c r="AX80" t="s">
        <v>201</v>
      </c>
      <c r="BF80" t="s">
        <v>365</v>
      </c>
      <c r="BG80" t="s">
        <v>98</v>
      </c>
      <c r="BH80" t="s">
        <v>98</v>
      </c>
      <c r="BI80" t="s">
        <v>98</v>
      </c>
      <c r="BK80" t="s">
        <v>138</v>
      </c>
      <c r="CA80" t="s">
        <v>315</v>
      </c>
      <c r="CB80" t="s">
        <v>201</v>
      </c>
      <c r="CL80" t="s">
        <v>98</v>
      </c>
      <c r="CM80" t="s">
        <v>98</v>
      </c>
      <c r="CN80" t="s">
        <v>156</v>
      </c>
      <c r="CO80" s="1">
        <v>40240</v>
      </c>
      <c r="CP80" s="1">
        <v>43595</v>
      </c>
    </row>
    <row r="81" spans="1:94" x14ac:dyDescent="0.25">
      <c r="A81" s="4" t="s">
        <v>366</v>
      </c>
      <c r="B81" t="str">
        <f xml:space="preserve"> "" &amp; 706411043000</f>
        <v>706411043000</v>
      </c>
      <c r="C81" t="s">
        <v>309</v>
      </c>
      <c r="D81" t="s">
        <v>367</v>
      </c>
      <c r="F81" t="s">
        <v>135</v>
      </c>
      <c r="G81">
        <v>1</v>
      </c>
      <c r="H81">
        <v>1</v>
      </c>
      <c r="I81" t="s">
        <v>97</v>
      </c>
      <c r="J81" s="32">
        <v>10.95</v>
      </c>
      <c r="K81" s="32">
        <v>32.85</v>
      </c>
      <c r="L81">
        <v>0</v>
      </c>
      <c r="N81">
        <v>0</v>
      </c>
      <c r="S81">
        <v>2.75</v>
      </c>
      <c r="T81">
        <v>4.75</v>
      </c>
      <c r="U81">
        <v>4.75</v>
      </c>
      <c r="W81">
        <v>1.08</v>
      </c>
      <c r="X81">
        <v>1</v>
      </c>
      <c r="Y81">
        <v>2.75</v>
      </c>
      <c r="Z81">
        <v>4.75</v>
      </c>
      <c r="AA81">
        <v>4.75</v>
      </c>
      <c r="AB81">
        <v>3.5999999999999997E-2</v>
      </c>
      <c r="AC81">
        <v>1.17</v>
      </c>
      <c r="AK81" t="s">
        <v>98</v>
      </c>
      <c r="AM81" t="s">
        <v>98</v>
      </c>
      <c r="AN81" t="s">
        <v>98</v>
      </c>
      <c r="AO81" t="s">
        <v>98</v>
      </c>
      <c r="AP81" t="s">
        <v>99</v>
      </c>
      <c r="AQ81" t="s">
        <v>102</v>
      </c>
      <c r="AV81" t="s">
        <v>98</v>
      </c>
      <c r="AX81" t="s">
        <v>205</v>
      </c>
      <c r="BF81" t="s">
        <v>368</v>
      </c>
      <c r="BG81" t="s">
        <v>98</v>
      </c>
      <c r="BH81" t="s">
        <v>98</v>
      </c>
      <c r="BI81" t="s">
        <v>98</v>
      </c>
      <c r="CB81" t="s">
        <v>205</v>
      </c>
      <c r="CL81" t="s">
        <v>98</v>
      </c>
      <c r="CM81" t="s">
        <v>98</v>
      </c>
      <c r="CP81" s="1">
        <v>43595</v>
      </c>
    </row>
    <row r="82" spans="1:94" x14ac:dyDescent="0.25">
      <c r="A82" s="4" t="s">
        <v>369</v>
      </c>
      <c r="B82" t="str">
        <f xml:space="preserve"> "" &amp; 706411053214</f>
        <v>706411053214</v>
      </c>
      <c r="C82" t="s">
        <v>309</v>
      </c>
      <c r="D82" t="s">
        <v>370</v>
      </c>
      <c r="F82" t="s">
        <v>135</v>
      </c>
      <c r="G82">
        <v>1</v>
      </c>
      <c r="H82">
        <v>1</v>
      </c>
      <c r="I82" t="s">
        <v>97</v>
      </c>
      <c r="J82" s="32">
        <v>10.95</v>
      </c>
      <c r="K82" s="32">
        <v>32.85</v>
      </c>
      <c r="L82">
        <v>0</v>
      </c>
      <c r="N82">
        <v>0</v>
      </c>
      <c r="S82">
        <v>2.75</v>
      </c>
      <c r="T82">
        <v>4.75</v>
      </c>
      <c r="U82">
        <v>4.75</v>
      </c>
      <c r="W82">
        <v>1.08</v>
      </c>
      <c r="X82">
        <v>1</v>
      </c>
      <c r="Y82">
        <v>2.75</v>
      </c>
      <c r="Z82">
        <v>4.75</v>
      </c>
      <c r="AA82">
        <v>4.75</v>
      </c>
      <c r="AB82">
        <v>3.5999999999999997E-2</v>
      </c>
      <c r="AC82">
        <v>1.17</v>
      </c>
      <c r="AK82" t="s">
        <v>98</v>
      </c>
      <c r="AM82" t="s">
        <v>98</v>
      </c>
      <c r="AN82" t="s">
        <v>98</v>
      </c>
      <c r="AO82" t="s">
        <v>98</v>
      </c>
      <c r="AP82" t="s">
        <v>99</v>
      </c>
      <c r="AQ82" t="s">
        <v>102</v>
      </c>
      <c r="AV82" t="s">
        <v>98</v>
      </c>
      <c r="AX82" t="s">
        <v>371</v>
      </c>
      <c r="BF82" t="s">
        <v>372</v>
      </c>
      <c r="BG82" t="s">
        <v>98</v>
      </c>
      <c r="BH82" t="s">
        <v>98</v>
      </c>
      <c r="BI82" t="s">
        <v>98</v>
      </c>
      <c r="BK82" t="s">
        <v>138</v>
      </c>
      <c r="CB82" t="s">
        <v>371</v>
      </c>
      <c r="CL82" t="s">
        <v>98</v>
      </c>
      <c r="CM82" t="s">
        <v>98</v>
      </c>
      <c r="CN82" t="s">
        <v>349</v>
      </c>
      <c r="CP82" s="1">
        <v>43595</v>
      </c>
    </row>
    <row r="83" spans="1:94" x14ac:dyDescent="0.25">
      <c r="A83" s="4" t="s">
        <v>373</v>
      </c>
      <c r="B83" t="str">
        <f xml:space="preserve"> "" &amp; 706411056727</f>
        <v>706411056727</v>
      </c>
      <c r="C83" t="s">
        <v>309</v>
      </c>
      <c r="D83" t="s">
        <v>374</v>
      </c>
      <c r="F83" t="s">
        <v>135</v>
      </c>
      <c r="G83">
        <v>1</v>
      </c>
      <c r="H83">
        <v>1</v>
      </c>
      <c r="I83" t="s">
        <v>97</v>
      </c>
      <c r="J83" s="32">
        <v>10.95</v>
      </c>
      <c r="K83" s="32">
        <v>32.85</v>
      </c>
      <c r="L83">
        <v>0</v>
      </c>
      <c r="N83">
        <v>0</v>
      </c>
      <c r="S83">
        <v>2.75</v>
      </c>
      <c r="T83">
        <v>4.75</v>
      </c>
      <c r="U83">
        <v>4.75</v>
      </c>
      <c r="W83">
        <v>1.08</v>
      </c>
      <c r="X83">
        <v>1</v>
      </c>
      <c r="Y83">
        <v>2.75</v>
      </c>
      <c r="Z83">
        <v>4.75</v>
      </c>
      <c r="AA83">
        <v>4.75</v>
      </c>
      <c r="AB83">
        <v>3.5999999999999997E-2</v>
      </c>
      <c r="AC83">
        <v>1.17</v>
      </c>
      <c r="AK83" t="s">
        <v>98</v>
      </c>
      <c r="AM83" t="s">
        <v>98</v>
      </c>
      <c r="AN83" t="s">
        <v>98</v>
      </c>
      <c r="AO83" t="s">
        <v>98</v>
      </c>
      <c r="AP83" t="s">
        <v>99</v>
      </c>
      <c r="AQ83" t="s">
        <v>102</v>
      </c>
      <c r="AV83" t="s">
        <v>98</v>
      </c>
      <c r="AX83" t="s">
        <v>209</v>
      </c>
      <c r="BF83" t="s">
        <v>375</v>
      </c>
      <c r="BG83" t="s">
        <v>98</v>
      </c>
      <c r="BH83" t="s">
        <v>98</v>
      </c>
      <c r="BI83" t="s">
        <v>98</v>
      </c>
      <c r="BK83" t="s">
        <v>138</v>
      </c>
      <c r="CA83" t="s">
        <v>315</v>
      </c>
      <c r="CB83" t="s">
        <v>209</v>
      </c>
      <c r="CL83" t="s">
        <v>98</v>
      </c>
      <c r="CM83" t="s">
        <v>98</v>
      </c>
      <c r="CN83" t="s">
        <v>156</v>
      </c>
      <c r="CO83" s="1">
        <v>42858</v>
      </c>
      <c r="CP83" s="1">
        <v>43595</v>
      </c>
    </row>
    <row r="84" spans="1:94" x14ac:dyDescent="0.25">
      <c r="A84" s="4" t="s">
        <v>376</v>
      </c>
      <c r="B84" t="str">
        <f xml:space="preserve"> "" &amp; 706411030550</f>
        <v>706411030550</v>
      </c>
      <c r="C84" t="s">
        <v>309</v>
      </c>
      <c r="D84" t="s">
        <v>4408</v>
      </c>
      <c r="F84" t="s">
        <v>135</v>
      </c>
      <c r="G84">
        <v>1</v>
      </c>
      <c r="H84">
        <v>1</v>
      </c>
      <c r="I84" t="s">
        <v>97</v>
      </c>
      <c r="J84" s="32">
        <v>10.95</v>
      </c>
      <c r="K84" s="32">
        <v>32.85</v>
      </c>
      <c r="L84">
        <v>0</v>
      </c>
      <c r="N84">
        <v>0</v>
      </c>
      <c r="S84">
        <v>2.75</v>
      </c>
      <c r="T84">
        <v>4.75</v>
      </c>
      <c r="U84">
        <v>4.75</v>
      </c>
      <c r="W84">
        <v>1.08</v>
      </c>
      <c r="X84">
        <v>1</v>
      </c>
      <c r="Y84">
        <v>2.75</v>
      </c>
      <c r="Z84">
        <v>4.75</v>
      </c>
      <c r="AA84">
        <v>4.75</v>
      </c>
      <c r="AB84">
        <v>3.5999999999999997E-2</v>
      </c>
      <c r="AC84">
        <v>1.17</v>
      </c>
      <c r="AK84" t="s">
        <v>98</v>
      </c>
      <c r="AM84" t="s">
        <v>98</v>
      </c>
      <c r="AN84" t="s">
        <v>98</v>
      </c>
      <c r="AO84" t="s">
        <v>98</v>
      </c>
      <c r="AP84" t="s">
        <v>99</v>
      </c>
      <c r="AQ84" t="s">
        <v>102</v>
      </c>
      <c r="AV84" t="s">
        <v>98</v>
      </c>
      <c r="AX84" t="s">
        <v>212</v>
      </c>
      <c r="BF84" t="s">
        <v>377</v>
      </c>
      <c r="BG84" t="s">
        <v>98</v>
      </c>
      <c r="BH84" t="s">
        <v>98</v>
      </c>
      <c r="BI84" t="s">
        <v>98</v>
      </c>
      <c r="BK84" t="s">
        <v>138</v>
      </c>
      <c r="CA84" t="s">
        <v>315</v>
      </c>
      <c r="CB84" t="s">
        <v>212</v>
      </c>
      <c r="CL84" t="s">
        <v>98</v>
      </c>
      <c r="CM84" t="s">
        <v>98</v>
      </c>
      <c r="CN84" t="s">
        <v>156</v>
      </c>
      <c r="CO84" s="1">
        <v>38545</v>
      </c>
      <c r="CP84" s="1">
        <v>43595</v>
      </c>
    </row>
    <row r="85" spans="1:94" x14ac:dyDescent="0.25">
      <c r="A85" s="4" t="s">
        <v>378</v>
      </c>
      <c r="B85" t="str">
        <f xml:space="preserve"> "" &amp; 706411034886</f>
        <v>706411034886</v>
      </c>
      <c r="C85" t="s">
        <v>309</v>
      </c>
      <c r="D85" t="s">
        <v>4409</v>
      </c>
      <c r="F85" t="s">
        <v>135</v>
      </c>
      <c r="G85">
        <v>1</v>
      </c>
      <c r="H85">
        <v>1</v>
      </c>
      <c r="I85" t="s">
        <v>97</v>
      </c>
      <c r="J85" s="32">
        <v>10.95</v>
      </c>
      <c r="K85" s="32">
        <v>32.85</v>
      </c>
      <c r="L85">
        <v>0</v>
      </c>
      <c r="N85">
        <v>0</v>
      </c>
      <c r="S85">
        <v>2.75</v>
      </c>
      <c r="T85">
        <v>4.75</v>
      </c>
      <c r="U85">
        <v>4.75</v>
      </c>
      <c r="W85">
        <v>1.08</v>
      </c>
      <c r="X85">
        <v>1</v>
      </c>
      <c r="Y85">
        <v>2.75</v>
      </c>
      <c r="Z85">
        <v>4.75</v>
      </c>
      <c r="AA85">
        <v>4.75</v>
      </c>
      <c r="AB85">
        <v>3.5999999999999997E-2</v>
      </c>
      <c r="AC85">
        <v>1.17</v>
      </c>
      <c r="AK85" t="s">
        <v>98</v>
      </c>
      <c r="AM85" t="s">
        <v>98</v>
      </c>
      <c r="AN85" t="s">
        <v>98</v>
      </c>
      <c r="AO85" t="s">
        <v>98</v>
      </c>
      <c r="AP85" t="s">
        <v>99</v>
      </c>
      <c r="AQ85" t="s">
        <v>102</v>
      </c>
      <c r="AV85" t="s">
        <v>98</v>
      </c>
      <c r="AX85" t="s">
        <v>215</v>
      </c>
      <c r="BF85" t="s">
        <v>379</v>
      </c>
      <c r="BG85" t="s">
        <v>98</v>
      </c>
      <c r="BH85" t="s">
        <v>98</v>
      </c>
      <c r="BI85" t="s">
        <v>98</v>
      </c>
      <c r="BK85" t="s">
        <v>138</v>
      </c>
      <c r="CA85" t="s">
        <v>315</v>
      </c>
      <c r="CB85" t="s">
        <v>215</v>
      </c>
      <c r="CL85" t="s">
        <v>98</v>
      </c>
      <c r="CM85" t="s">
        <v>98</v>
      </c>
      <c r="CN85" t="s">
        <v>156</v>
      </c>
      <c r="CO85" s="1">
        <v>39728</v>
      </c>
      <c r="CP85" s="1">
        <v>43595</v>
      </c>
    </row>
    <row r="86" spans="1:94" x14ac:dyDescent="0.25">
      <c r="A86" s="4" t="s">
        <v>380</v>
      </c>
      <c r="B86" t="str">
        <f xml:space="preserve"> "" &amp; 706411030567</f>
        <v>706411030567</v>
      </c>
      <c r="C86" t="s">
        <v>309</v>
      </c>
      <c r="D86" t="s">
        <v>381</v>
      </c>
      <c r="F86" t="s">
        <v>135</v>
      </c>
      <c r="G86">
        <v>1</v>
      </c>
      <c r="H86">
        <v>1</v>
      </c>
      <c r="I86" t="s">
        <v>97</v>
      </c>
      <c r="J86" s="32">
        <v>10.95</v>
      </c>
      <c r="K86" s="32">
        <v>32.85</v>
      </c>
      <c r="L86">
        <v>0</v>
      </c>
      <c r="N86">
        <v>0</v>
      </c>
      <c r="S86">
        <v>2.75</v>
      </c>
      <c r="T86">
        <v>4.75</v>
      </c>
      <c r="U86">
        <v>4.75</v>
      </c>
      <c r="W86">
        <v>1.08</v>
      </c>
      <c r="X86">
        <v>1</v>
      </c>
      <c r="Y86">
        <v>2.75</v>
      </c>
      <c r="Z86">
        <v>4.75</v>
      </c>
      <c r="AA86">
        <v>4.75</v>
      </c>
      <c r="AB86">
        <v>3.5999999999999997E-2</v>
      </c>
      <c r="AC86">
        <v>1.17</v>
      </c>
      <c r="AK86" t="s">
        <v>98</v>
      </c>
      <c r="AM86" t="s">
        <v>98</v>
      </c>
      <c r="AN86" t="s">
        <v>98</v>
      </c>
      <c r="AO86" t="s">
        <v>98</v>
      </c>
      <c r="AP86" t="s">
        <v>99</v>
      </c>
      <c r="AQ86" t="s">
        <v>102</v>
      </c>
      <c r="AV86" t="s">
        <v>98</v>
      </c>
      <c r="AX86" t="s">
        <v>382</v>
      </c>
      <c r="BF86" t="s">
        <v>383</v>
      </c>
      <c r="BG86" t="s">
        <v>98</v>
      </c>
      <c r="BH86" t="s">
        <v>98</v>
      </c>
      <c r="BI86" t="s">
        <v>98</v>
      </c>
      <c r="BK86" t="s">
        <v>138</v>
      </c>
      <c r="CB86" t="s">
        <v>382</v>
      </c>
      <c r="CL86" t="s">
        <v>98</v>
      </c>
      <c r="CM86" t="s">
        <v>98</v>
      </c>
      <c r="CN86" t="s">
        <v>156</v>
      </c>
      <c r="CO86" s="1">
        <v>38545</v>
      </c>
      <c r="CP86" s="1">
        <v>43595</v>
      </c>
    </row>
    <row r="87" spans="1:94" x14ac:dyDescent="0.25">
      <c r="A87" s="4" t="s">
        <v>384</v>
      </c>
      <c r="B87" t="str">
        <f xml:space="preserve"> "" &amp; 706411043017</f>
        <v>706411043017</v>
      </c>
      <c r="C87" t="s">
        <v>309</v>
      </c>
      <c r="D87" t="s">
        <v>385</v>
      </c>
      <c r="F87" t="s">
        <v>135</v>
      </c>
      <c r="G87">
        <v>1</v>
      </c>
      <c r="H87">
        <v>1</v>
      </c>
      <c r="I87" t="s">
        <v>97</v>
      </c>
      <c r="J87" s="32">
        <v>10.95</v>
      </c>
      <c r="K87" s="32">
        <v>32.85</v>
      </c>
      <c r="L87">
        <v>0</v>
      </c>
      <c r="N87">
        <v>0</v>
      </c>
      <c r="S87">
        <v>2.75</v>
      </c>
      <c r="T87">
        <v>4.75</v>
      </c>
      <c r="U87">
        <v>4.75</v>
      </c>
      <c r="W87">
        <v>1.08</v>
      </c>
      <c r="X87">
        <v>1</v>
      </c>
      <c r="Y87">
        <v>2.75</v>
      </c>
      <c r="Z87">
        <v>4.75</v>
      </c>
      <c r="AA87">
        <v>4.75</v>
      </c>
      <c r="AB87">
        <v>3.5999999999999997E-2</v>
      </c>
      <c r="AC87">
        <v>1.17</v>
      </c>
      <c r="AK87" t="s">
        <v>98</v>
      </c>
      <c r="AM87" t="s">
        <v>98</v>
      </c>
      <c r="AN87" t="s">
        <v>98</v>
      </c>
      <c r="AO87" t="s">
        <v>98</v>
      </c>
      <c r="AP87" t="s">
        <v>99</v>
      </c>
      <c r="AQ87" t="s">
        <v>102</v>
      </c>
      <c r="AV87" t="s">
        <v>98</v>
      </c>
      <c r="AX87" t="s">
        <v>219</v>
      </c>
      <c r="BF87" t="s">
        <v>386</v>
      </c>
      <c r="BG87" t="s">
        <v>98</v>
      </c>
      <c r="BH87" t="s">
        <v>98</v>
      </c>
      <c r="BI87" t="s">
        <v>98</v>
      </c>
      <c r="BK87" t="s">
        <v>138</v>
      </c>
      <c r="CA87" t="s">
        <v>315</v>
      </c>
      <c r="CB87" t="s">
        <v>219</v>
      </c>
      <c r="CL87" t="s">
        <v>98</v>
      </c>
      <c r="CM87" t="s">
        <v>98</v>
      </c>
      <c r="CN87" t="s">
        <v>387</v>
      </c>
      <c r="CP87" s="1">
        <v>43595</v>
      </c>
    </row>
    <row r="88" spans="1:94" x14ac:dyDescent="0.25">
      <c r="A88" s="4" t="s">
        <v>388</v>
      </c>
      <c r="B88" t="str">
        <f xml:space="preserve"> "" &amp; 706411030697</f>
        <v>706411030697</v>
      </c>
      <c r="C88" t="s">
        <v>309</v>
      </c>
      <c r="D88" t="s">
        <v>389</v>
      </c>
      <c r="F88" t="s">
        <v>135</v>
      </c>
      <c r="G88">
        <v>1</v>
      </c>
      <c r="H88">
        <v>1</v>
      </c>
      <c r="I88" t="s">
        <v>97</v>
      </c>
      <c r="J88" s="32">
        <v>10.95</v>
      </c>
      <c r="K88" s="32">
        <v>32.85</v>
      </c>
      <c r="L88">
        <v>0</v>
      </c>
      <c r="N88">
        <v>0</v>
      </c>
      <c r="S88">
        <v>2.75</v>
      </c>
      <c r="T88">
        <v>4.75</v>
      </c>
      <c r="U88">
        <v>4.75</v>
      </c>
      <c r="W88">
        <v>1.08</v>
      </c>
      <c r="X88">
        <v>1</v>
      </c>
      <c r="Y88">
        <v>2.75</v>
      </c>
      <c r="Z88">
        <v>4.75</v>
      </c>
      <c r="AA88">
        <v>4.75</v>
      </c>
      <c r="AB88">
        <v>3.5999999999999997E-2</v>
      </c>
      <c r="AC88">
        <v>1.17</v>
      </c>
      <c r="AK88" t="s">
        <v>98</v>
      </c>
      <c r="AM88" t="s">
        <v>98</v>
      </c>
      <c r="AN88" t="s">
        <v>98</v>
      </c>
      <c r="AO88" t="s">
        <v>98</v>
      </c>
      <c r="AP88" t="s">
        <v>99</v>
      </c>
      <c r="AQ88" t="s">
        <v>102</v>
      </c>
      <c r="AV88" t="s">
        <v>98</v>
      </c>
      <c r="AX88" t="s">
        <v>223</v>
      </c>
      <c r="BF88" t="s">
        <v>390</v>
      </c>
      <c r="BG88" t="s">
        <v>98</v>
      </c>
      <c r="BH88" t="s">
        <v>98</v>
      </c>
      <c r="BI88" t="s">
        <v>98</v>
      </c>
      <c r="BK88" t="s">
        <v>138</v>
      </c>
      <c r="CA88" t="s">
        <v>315</v>
      </c>
      <c r="CB88" t="s">
        <v>223</v>
      </c>
      <c r="CL88" t="s">
        <v>98</v>
      </c>
      <c r="CM88" t="s">
        <v>98</v>
      </c>
      <c r="CN88" t="s">
        <v>156</v>
      </c>
      <c r="CO88" s="1">
        <v>39728</v>
      </c>
      <c r="CP88" s="1">
        <v>43595</v>
      </c>
    </row>
    <row r="89" spans="1:94" x14ac:dyDescent="0.25">
      <c r="A89" s="4" t="s">
        <v>391</v>
      </c>
      <c r="B89" t="str">
        <f xml:space="preserve"> "" &amp; 706411038815</f>
        <v>706411038815</v>
      </c>
      <c r="C89" t="s">
        <v>309</v>
      </c>
      <c r="D89" t="s">
        <v>392</v>
      </c>
      <c r="F89" t="s">
        <v>135</v>
      </c>
      <c r="G89">
        <v>1</v>
      </c>
      <c r="H89">
        <v>1</v>
      </c>
      <c r="I89" t="s">
        <v>97</v>
      </c>
      <c r="J89" s="32">
        <v>10.95</v>
      </c>
      <c r="K89" s="32">
        <v>32.85</v>
      </c>
      <c r="L89">
        <v>0</v>
      </c>
      <c r="N89">
        <v>0</v>
      </c>
      <c r="S89">
        <v>2.75</v>
      </c>
      <c r="T89">
        <v>4.75</v>
      </c>
      <c r="U89">
        <v>4.75</v>
      </c>
      <c r="W89">
        <v>1.08</v>
      </c>
      <c r="X89">
        <v>1</v>
      </c>
      <c r="Y89">
        <v>2.75</v>
      </c>
      <c r="Z89">
        <v>4.75</v>
      </c>
      <c r="AA89">
        <v>4.75</v>
      </c>
      <c r="AB89">
        <v>3.5999999999999997E-2</v>
      </c>
      <c r="AC89">
        <v>1.17</v>
      </c>
      <c r="AK89" t="s">
        <v>98</v>
      </c>
      <c r="AM89" t="s">
        <v>98</v>
      </c>
      <c r="AN89" t="s">
        <v>98</v>
      </c>
      <c r="AO89" t="s">
        <v>98</v>
      </c>
      <c r="AP89" t="s">
        <v>99</v>
      </c>
      <c r="AQ89" t="s">
        <v>102</v>
      </c>
      <c r="AV89" t="s">
        <v>98</v>
      </c>
      <c r="AX89" t="s">
        <v>227</v>
      </c>
      <c r="BF89" t="s">
        <v>393</v>
      </c>
      <c r="BG89" t="s">
        <v>98</v>
      </c>
      <c r="BH89" t="s">
        <v>98</v>
      </c>
      <c r="BI89" t="s">
        <v>98</v>
      </c>
      <c r="BK89" t="s">
        <v>138</v>
      </c>
      <c r="CA89" t="s">
        <v>315</v>
      </c>
      <c r="CB89" t="s">
        <v>227</v>
      </c>
      <c r="CL89" t="s">
        <v>98</v>
      </c>
      <c r="CM89" t="s">
        <v>98</v>
      </c>
      <c r="CN89" t="s">
        <v>156</v>
      </c>
      <c r="CO89" s="1">
        <v>40240</v>
      </c>
      <c r="CP89" s="1">
        <v>43595</v>
      </c>
    </row>
    <row r="90" spans="1:94" x14ac:dyDescent="0.25">
      <c r="A90" s="4" t="s">
        <v>394</v>
      </c>
      <c r="B90" t="str">
        <f xml:space="preserve"> "" &amp; 706411030574</f>
        <v>706411030574</v>
      </c>
      <c r="C90" t="s">
        <v>309</v>
      </c>
      <c r="D90" t="s">
        <v>395</v>
      </c>
      <c r="F90" t="s">
        <v>135</v>
      </c>
      <c r="G90">
        <v>1</v>
      </c>
      <c r="H90">
        <v>1</v>
      </c>
      <c r="I90" t="s">
        <v>97</v>
      </c>
      <c r="J90" s="32">
        <v>10.95</v>
      </c>
      <c r="K90" s="32">
        <v>32.85</v>
      </c>
      <c r="L90">
        <v>0</v>
      </c>
      <c r="N90">
        <v>0</v>
      </c>
      <c r="S90">
        <v>2.75</v>
      </c>
      <c r="T90">
        <v>4.75</v>
      </c>
      <c r="U90">
        <v>4.75</v>
      </c>
      <c r="W90">
        <v>1.08</v>
      </c>
      <c r="X90">
        <v>1</v>
      </c>
      <c r="Y90">
        <v>2.75</v>
      </c>
      <c r="Z90">
        <v>4.75</v>
      </c>
      <c r="AA90">
        <v>4.75</v>
      </c>
      <c r="AB90">
        <v>3.5999999999999997E-2</v>
      </c>
      <c r="AC90">
        <v>1.17</v>
      </c>
      <c r="AK90" t="s">
        <v>98</v>
      </c>
      <c r="AM90" t="s">
        <v>98</v>
      </c>
      <c r="AN90" t="s">
        <v>98</v>
      </c>
      <c r="AO90" t="s">
        <v>98</v>
      </c>
      <c r="AP90" t="s">
        <v>99</v>
      </c>
      <c r="AQ90" t="s">
        <v>102</v>
      </c>
      <c r="AV90" t="s">
        <v>98</v>
      </c>
      <c r="AX90" t="s">
        <v>231</v>
      </c>
      <c r="BF90" t="s">
        <v>396</v>
      </c>
      <c r="BG90" t="s">
        <v>98</v>
      </c>
      <c r="BH90" t="s">
        <v>98</v>
      </c>
      <c r="BI90" t="s">
        <v>98</v>
      </c>
      <c r="BK90" t="s">
        <v>138</v>
      </c>
      <c r="CA90" t="s">
        <v>315</v>
      </c>
      <c r="CB90" t="s">
        <v>231</v>
      </c>
      <c r="CL90" t="s">
        <v>98</v>
      </c>
      <c r="CM90" t="s">
        <v>98</v>
      </c>
      <c r="CN90" t="s">
        <v>156</v>
      </c>
      <c r="CO90" s="1">
        <v>38545</v>
      </c>
      <c r="CP90" s="1">
        <v>43595</v>
      </c>
    </row>
    <row r="91" spans="1:94" x14ac:dyDescent="0.25">
      <c r="A91" s="4" t="s">
        <v>397</v>
      </c>
      <c r="B91" t="str">
        <f xml:space="preserve"> "" &amp; 706411030581</f>
        <v>706411030581</v>
      </c>
      <c r="C91" t="s">
        <v>309</v>
      </c>
      <c r="D91" t="s">
        <v>398</v>
      </c>
      <c r="F91" t="s">
        <v>135</v>
      </c>
      <c r="G91">
        <v>1</v>
      </c>
      <c r="H91">
        <v>1</v>
      </c>
      <c r="I91" t="s">
        <v>97</v>
      </c>
      <c r="J91" s="32">
        <v>10.95</v>
      </c>
      <c r="K91" s="32">
        <v>32.85</v>
      </c>
      <c r="L91">
        <v>0</v>
      </c>
      <c r="N91">
        <v>0</v>
      </c>
      <c r="S91">
        <v>2.75</v>
      </c>
      <c r="T91">
        <v>4.75</v>
      </c>
      <c r="U91">
        <v>4.75</v>
      </c>
      <c r="W91">
        <v>1.08</v>
      </c>
      <c r="X91">
        <v>1</v>
      </c>
      <c r="Y91">
        <v>2.75</v>
      </c>
      <c r="Z91">
        <v>4.75</v>
      </c>
      <c r="AA91">
        <v>4.75</v>
      </c>
      <c r="AB91">
        <v>3.5999999999999997E-2</v>
      </c>
      <c r="AC91">
        <v>1.17</v>
      </c>
      <c r="AK91" t="s">
        <v>98</v>
      </c>
      <c r="AM91" t="s">
        <v>98</v>
      </c>
      <c r="AN91" t="s">
        <v>98</v>
      </c>
      <c r="AO91" t="s">
        <v>98</v>
      </c>
      <c r="AP91" t="s">
        <v>99</v>
      </c>
      <c r="AQ91" t="s">
        <v>102</v>
      </c>
      <c r="AV91" t="s">
        <v>98</v>
      </c>
      <c r="AX91" t="s">
        <v>235</v>
      </c>
      <c r="BF91" t="s">
        <v>399</v>
      </c>
      <c r="BG91" t="s">
        <v>98</v>
      </c>
      <c r="BH91" t="s">
        <v>98</v>
      </c>
      <c r="BI91" t="s">
        <v>98</v>
      </c>
      <c r="BK91" t="s">
        <v>138</v>
      </c>
      <c r="CA91" t="s">
        <v>315</v>
      </c>
      <c r="CB91" t="s">
        <v>235</v>
      </c>
      <c r="CL91" t="s">
        <v>98</v>
      </c>
      <c r="CM91" t="s">
        <v>98</v>
      </c>
      <c r="CN91" t="s">
        <v>156</v>
      </c>
      <c r="CO91" s="1">
        <v>38545</v>
      </c>
      <c r="CP91" s="1">
        <v>43595</v>
      </c>
    </row>
    <row r="92" spans="1:94" x14ac:dyDescent="0.25">
      <c r="A92" s="4" t="s">
        <v>400</v>
      </c>
      <c r="B92" t="str">
        <f xml:space="preserve"> "" &amp; 706411034930</f>
        <v>706411034930</v>
      </c>
      <c r="C92" t="s">
        <v>309</v>
      </c>
      <c r="D92" t="s">
        <v>4410</v>
      </c>
      <c r="F92" t="s">
        <v>135</v>
      </c>
      <c r="G92">
        <v>1</v>
      </c>
      <c r="H92">
        <v>1</v>
      </c>
      <c r="I92" t="s">
        <v>97</v>
      </c>
      <c r="J92" s="32">
        <v>10.95</v>
      </c>
      <c r="K92" s="32">
        <v>32.85</v>
      </c>
      <c r="L92">
        <v>0</v>
      </c>
      <c r="N92">
        <v>0</v>
      </c>
      <c r="S92">
        <v>2.75</v>
      </c>
      <c r="T92">
        <v>4.75</v>
      </c>
      <c r="U92">
        <v>4.75</v>
      </c>
      <c r="W92">
        <v>1.08</v>
      </c>
      <c r="X92">
        <v>1</v>
      </c>
      <c r="Y92">
        <v>2.75</v>
      </c>
      <c r="Z92">
        <v>4.75</v>
      </c>
      <c r="AA92">
        <v>4.75</v>
      </c>
      <c r="AB92">
        <v>3.5999999999999997E-2</v>
      </c>
      <c r="AC92">
        <v>1.17</v>
      </c>
      <c r="AK92" t="s">
        <v>98</v>
      </c>
      <c r="AM92" t="s">
        <v>98</v>
      </c>
      <c r="AN92" t="s">
        <v>98</v>
      </c>
      <c r="AO92" t="s">
        <v>98</v>
      </c>
      <c r="AP92" t="s">
        <v>99</v>
      </c>
      <c r="AQ92" t="s">
        <v>102</v>
      </c>
      <c r="AV92" t="s">
        <v>98</v>
      </c>
      <c r="AX92" t="s">
        <v>238</v>
      </c>
      <c r="BF92" t="s">
        <v>401</v>
      </c>
      <c r="BG92" t="s">
        <v>98</v>
      </c>
      <c r="BH92" t="s">
        <v>98</v>
      </c>
      <c r="BI92" t="s">
        <v>98</v>
      </c>
      <c r="BK92" t="s">
        <v>138</v>
      </c>
      <c r="CA92" t="s">
        <v>315</v>
      </c>
      <c r="CB92" t="s">
        <v>238</v>
      </c>
      <c r="CL92" t="s">
        <v>98</v>
      </c>
      <c r="CM92" t="s">
        <v>98</v>
      </c>
      <c r="CN92" t="s">
        <v>156</v>
      </c>
      <c r="CO92" s="1">
        <v>39728</v>
      </c>
      <c r="CP92" s="1">
        <v>43595</v>
      </c>
    </row>
    <row r="93" spans="1:94" x14ac:dyDescent="0.25">
      <c r="A93" s="4" t="s">
        <v>402</v>
      </c>
      <c r="B93" t="str">
        <f xml:space="preserve"> "" &amp; 706411053115</f>
        <v>706411053115</v>
      </c>
      <c r="C93" t="s">
        <v>309</v>
      </c>
      <c r="D93" t="s">
        <v>403</v>
      </c>
      <c r="F93" t="s">
        <v>135</v>
      </c>
      <c r="G93">
        <v>1</v>
      </c>
      <c r="H93">
        <v>1</v>
      </c>
      <c r="I93" t="s">
        <v>97</v>
      </c>
      <c r="J93" s="32">
        <v>10.95</v>
      </c>
      <c r="K93" s="32">
        <v>32.85</v>
      </c>
      <c r="L93">
        <v>0</v>
      </c>
      <c r="N93">
        <v>0</v>
      </c>
      <c r="S93">
        <v>2.75</v>
      </c>
      <c r="T93">
        <v>4.75</v>
      </c>
      <c r="U93">
        <v>4.75</v>
      </c>
      <c r="W93">
        <v>1.08</v>
      </c>
      <c r="X93">
        <v>1</v>
      </c>
      <c r="Y93">
        <v>2.75</v>
      </c>
      <c r="Z93">
        <v>4.75</v>
      </c>
      <c r="AA93">
        <v>4.75</v>
      </c>
      <c r="AB93">
        <v>3.5999999999999997E-2</v>
      </c>
      <c r="AC93">
        <v>1.17</v>
      </c>
      <c r="AK93" t="s">
        <v>98</v>
      </c>
      <c r="AM93" t="s">
        <v>98</v>
      </c>
      <c r="AN93" t="s">
        <v>98</v>
      </c>
      <c r="AO93" t="s">
        <v>98</v>
      </c>
      <c r="AP93" t="s">
        <v>99</v>
      </c>
      <c r="AQ93" t="s">
        <v>102</v>
      </c>
      <c r="AV93" t="s">
        <v>98</v>
      </c>
      <c r="AX93" t="s">
        <v>404</v>
      </c>
      <c r="BF93" t="s">
        <v>405</v>
      </c>
      <c r="BG93" t="s">
        <v>98</v>
      </c>
      <c r="BH93" t="s">
        <v>98</v>
      </c>
      <c r="BI93" t="s">
        <v>98</v>
      </c>
      <c r="BK93" t="s">
        <v>138</v>
      </c>
      <c r="CA93" t="s">
        <v>315</v>
      </c>
      <c r="CB93" t="s">
        <v>404</v>
      </c>
      <c r="CL93" t="s">
        <v>98</v>
      </c>
      <c r="CM93" t="s">
        <v>98</v>
      </c>
      <c r="CN93" t="s">
        <v>156</v>
      </c>
      <c r="CP93" s="1">
        <v>43595</v>
      </c>
    </row>
    <row r="94" spans="1:94" x14ac:dyDescent="0.25">
      <c r="A94" s="4" t="s">
        <v>406</v>
      </c>
      <c r="B94" t="str">
        <f xml:space="preserve"> "" &amp; 706411030598</f>
        <v>706411030598</v>
      </c>
      <c r="C94" t="s">
        <v>309</v>
      </c>
      <c r="D94" t="s">
        <v>407</v>
      </c>
      <c r="F94" t="s">
        <v>135</v>
      </c>
      <c r="G94">
        <v>1</v>
      </c>
      <c r="H94">
        <v>1</v>
      </c>
      <c r="I94" t="s">
        <v>97</v>
      </c>
      <c r="J94" s="32">
        <v>10.95</v>
      </c>
      <c r="K94" s="32">
        <v>32.85</v>
      </c>
      <c r="L94">
        <v>0</v>
      </c>
      <c r="N94">
        <v>0</v>
      </c>
      <c r="S94">
        <v>2.75</v>
      </c>
      <c r="T94">
        <v>4.75</v>
      </c>
      <c r="U94">
        <v>4.75</v>
      </c>
      <c r="W94">
        <v>1.08</v>
      </c>
      <c r="X94">
        <v>1</v>
      </c>
      <c r="Y94">
        <v>2.75</v>
      </c>
      <c r="Z94">
        <v>4.75</v>
      </c>
      <c r="AA94">
        <v>4.75</v>
      </c>
      <c r="AB94">
        <v>3.5999999999999997E-2</v>
      </c>
      <c r="AC94">
        <v>1.17</v>
      </c>
      <c r="AK94" t="s">
        <v>98</v>
      </c>
      <c r="AM94" t="s">
        <v>98</v>
      </c>
      <c r="AN94" t="s">
        <v>98</v>
      </c>
      <c r="AO94" t="s">
        <v>98</v>
      </c>
      <c r="AP94" t="s">
        <v>99</v>
      </c>
      <c r="AQ94" t="s">
        <v>102</v>
      </c>
      <c r="AV94" t="s">
        <v>98</v>
      </c>
      <c r="AX94" t="s">
        <v>245</v>
      </c>
      <c r="BF94" t="s">
        <v>408</v>
      </c>
      <c r="BG94" t="s">
        <v>98</v>
      </c>
      <c r="BH94" t="s">
        <v>98</v>
      </c>
      <c r="BI94" t="s">
        <v>98</v>
      </c>
      <c r="BK94" t="s">
        <v>138</v>
      </c>
      <c r="CA94" t="s">
        <v>315</v>
      </c>
      <c r="CB94" t="s">
        <v>245</v>
      </c>
      <c r="CL94" t="s">
        <v>98</v>
      </c>
      <c r="CM94" t="s">
        <v>98</v>
      </c>
      <c r="CN94" t="s">
        <v>156</v>
      </c>
      <c r="CO94" s="1">
        <v>38545</v>
      </c>
      <c r="CP94" s="1">
        <v>43595</v>
      </c>
    </row>
    <row r="95" spans="1:94" x14ac:dyDescent="0.25">
      <c r="A95" s="4" t="s">
        <v>409</v>
      </c>
      <c r="B95" t="str">
        <f xml:space="preserve"> "" &amp; 706411039584</f>
        <v>706411039584</v>
      </c>
      <c r="C95" t="s">
        <v>309</v>
      </c>
      <c r="D95" t="s">
        <v>410</v>
      </c>
      <c r="F95" t="s">
        <v>135</v>
      </c>
      <c r="G95">
        <v>1</v>
      </c>
      <c r="H95">
        <v>1</v>
      </c>
      <c r="I95" t="s">
        <v>97</v>
      </c>
      <c r="J95" s="32">
        <v>10.95</v>
      </c>
      <c r="K95" s="32">
        <v>32.85</v>
      </c>
      <c r="L95">
        <v>0</v>
      </c>
      <c r="N95">
        <v>0</v>
      </c>
      <c r="S95">
        <v>2.75</v>
      </c>
      <c r="T95">
        <v>4.75</v>
      </c>
      <c r="U95">
        <v>4.75</v>
      </c>
      <c r="W95">
        <v>1.08</v>
      </c>
      <c r="X95">
        <v>1</v>
      </c>
      <c r="Y95">
        <v>2.75</v>
      </c>
      <c r="Z95">
        <v>4.75</v>
      </c>
      <c r="AA95">
        <v>4.75</v>
      </c>
      <c r="AB95">
        <v>3.5999999999999997E-2</v>
      </c>
      <c r="AC95">
        <v>1.17</v>
      </c>
      <c r="AK95" t="s">
        <v>98</v>
      </c>
      <c r="AM95" t="s">
        <v>98</v>
      </c>
      <c r="AN95" t="s">
        <v>98</v>
      </c>
      <c r="AO95" t="s">
        <v>98</v>
      </c>
      <c r="AP95" t="s">
        <v>99</v>
      </c>
      <c r="AQ95" t="s">
        <v>102</v>
      </c>
      <c r="AV95" t="s">
        <v>98</v>
      </c>
      <c r="AX95" t="s">
        <v>249</v>
      </c>
      <c r="BF95" t="s">
        <v>411</v>
      </c>
      <c r="BG95" t="s">
        <v>98</v>
      </c>
      <c r="BH95" t="s">
        <v>98</v>
      </c>
      <c r="BI95" t="s">
        <v>98</v>
      </c>
      <c r="BK95" t="s">
        <v>138</v>
      </c>
      <c r="CA95" t="s">
        <v>315</v>
      </c>
      <c r="CB95" t="s">
        <v>249</v>
      </c>
      <c r="CL95" t="s">
        <v>98</v>
      </c>
      <c r="CM95" t="s">
        <v>98</v>
      </c>
      <c r="CN95" t="s">
        <v>156</v>
      </c>
      <c r="CO95" s="1">
        <v>40240</v>
      </c>
      <c r="CP95" s="1">
        <v>43595</v>
      </c>
    </row>
    <row r="96" spans="1:94" x14ac:dyDescent="0.25">
      <c r="A96" s="4" t="s">
        <v>412</v>
      </c>
      <c r="B96" t="str">
        <f xml:space="preserve"> "" &amp; 706411038822</f>
        <v>706411038822</v>
      </c>
      <c r="C96" t="s">
        <v>309</v>
      </c>
      <c r="D96" t="s">
        <v>413</v>
      </c>
      <c r="F96" t="s">
        <v>135</v>
      </c>
      <c r="G96">
        <v>1</v>
      </c>
      <c r="H96">
        <v>1</v>
      </c>
      <c r="I96" t="s">
        <v>97</v>
      </c>
      <c r="J96" s="32">
        <v>10.95</v>
      </c>
      <c r="K96" s="32">
        <v>32.85</v>
      </c>
      <c r="L96">
        <v>0</v>
      </c>
      <c r="N96">
        <v>0</v>
      </c>
      <c r="S96">
        <v>2.75</v>
      </c>
      <c r="T96">
        <v>4.75</v>
      </c>
      <c r="U96">
        <v>4.75</v>
      </c>
      <c r="W96">
        <v>1.08</v>
      </c>
      <c r="X96">
        <v>1</v>
      </c>
      <c r="Y96">
        <v>2.75</v>
      </c>
      <c r="Z96">
        <v>4.75</v>
      </c>
      <c r="AA96">
        <v>4.75</v>
      </c>
      <c r="AB96">
        <v>3.5999999999999997E-2</v>
      </c>
      <c r="AC96">
        <v>1.17</v>
      </c>
      <c r="AK96" t="s">
        <v>98</v>
      </c>
      <c r="AM96" t="s">
        <v>98</v>
      </c>
      <c r="AN96" t="s">
        <v>98</v>
      </c>
      <c r="AO96" t="s">
        <v>98</v>
      </c>
      <c r="AP96" t="s">
        <v>99</v>
      </c>
      <c r="AQ96" t="s">
        <v>102</v>
      </c>
      <c r="AV96" t="s">
        <v>98</v>
      </c>
      <c r="AX96" t="s">
        <v>253</v>
      </c>
      <c r="BF96" t="s">
        <v>414</v>
      </c>
      <c r="BG96" t="s">
        <v>98</v>
      </c>
      <c r="BH96" t="s">
        <v>98</v>
      </c>
      <c r="BI96" t="s">
        <v>98</v>
      </c>
      <c r="BK96" t="s">
        <v>138</v>
      </c>
      <c r="CA96" t="s">
        <v>315</v>
      </c>
      <c r="CB96" t="s">
        <v>253</v>
      </c>
      <c r="CL96" t="s">
        <v>98</v>
      </c>
      <c r="CM96" t="s">
        <v>98</v>
      </c>
      <c r="CN96" t="s">
        <v>156</v>
      </c>
      <c r="CO96" s="1">
        <v>40240</v>
      </c>
      <c r="CP96" s="1">
        <v>43595</v>
      </c>
    </row>
    <row r="97" spans="1:94" x14ac:dyDescent="0.25">
      <c r="A97" s="4" t="s">
        <v>415</v>
      </c>
      <c r="B97" t="str">
        <f xml:space="preserve"> "" &amp; 706411041556</f>
        <v>706411041556</v>
      </c>
      <c r="C97" t="s">
        <v>309</v>
      </c>
      <c r="D97" t="s">
        <v>416</v>
      </c>
      <c r="F97" t="s">
        <v>135</v>
      </c>
      <c r="G97">
        <v>1</v>
      </c>
      <c r="H97">
        <v>1</v>
      </c>
      <c r="I97" t="s">
        <v>97</v>
      </c>
      <c r="J97" s="32">
        <v>10.95</v>
      </c>
      <c r="K97" s="32">
        <v>32.85</v>
      </c>
      <c r="L97">
        <v>0</v>
      </c>
      <c r="N97">
        <v>0</v>
      </c>
      <c r="S97">
        <v>2.75</v>
      </c>
      <c r="T97">
        <v>4.75</v>
      </c>
      <c r="U97">
        <v>4.75</v>
      </c>
      <c r="W97">
        <v>1.08</v>
      </c>
      <c r="X97">
        <v>1</v>
      </c>
      <c r="Y97">
        <v>2.75</v>
      </c>
      <c r="Z97">
        <v>4.75</v>
      </c>
      <c r="AA97">
        <v>4.75</v>
      </c>
      <c r="AB97">
        <v>3.5999999999999997E-2</v>
      </c>
      <c r="AC97">
        <v>1.17</v>
      </c>
      <c r="AK97" t="s">
        <v>98</v>
      </c>
      <c r="AM97" t="s">
        <v>98</v>
      </c>
      <c r="AN97" t="s">
        <v>98</v>
      </c>
      <c r="AO97" t="s">
        <v>98</v>
      </c>
      <c r="AP97" t="s">
        <v>99</v>
      </c>
      <c r="AQ97" t="s">
        <v>102</v>
      </c>
      <c r="AV97" t="s">
        <v>98</v>
      </c>
      <c r="AX97" t="s">
        <v>257</v>
      </c>
      <c r="BF97" t="s">
        <v>417</v>
      </c>
      <c r="BG97" t="s">
        <v>98</v>
      </c>
      <c r="BH97" t="s">
        <v>98</v>
      </c>
      <c r="BI97" t="s">
        <v>98</v>
      </c>
      <c r="BK97" t="s">
        <v>138</v>
      </c>
      <c r="CA97" t="s">
        <v>315</v>
      </c>
      <c r="CB97" t="s">
        <v>257</v>
      </c>
      <c r="CL97" t="s">
        <v>98</v>
      </c>
      <c r="CM97" t="s">
        <v>98</v>
      </c>
      <c r="CN97" t="s">
        <v>418</v>
      </c>
      <c r="CO97" s="1">
        <v>40240</v>
      </c>
      <c r="CP97" s="1">
        <v>43595</v>
      </c>
    </row>
    <row r="98" spans="1:94" x14ac:dyDescent="0.25">
      <c r="A98" s="4" t="s">
        <v>419</v>
      </c>
      <c r="B98" t="str">
        <f xml:space="preserve"> "" &amp; 706411030635</f>
        <v>706411030635</v>
      </c>
      <c r="C98" t="s">
        <v>309</v>
      </c>
      <c r="D98" t="s">
        <v>420</v>
      </c>
      <c r="F98" t="s">
        <v>135</v>
      </c>
      <c r="G98">
        <v>1</v>
      </c>
      <c r="H98">
        <v>1</v>
      </c>
      <c r="I98" t="s">
        <v>97</v>
      </c>
      <c r="J98" s="32">
        <v>10.95</v>
      </c>
      <c r="K98" s="32">
        <v>32.85</v>
      </c>
      <c r="L98">
        <v>0</v>
      </c>
      <c r="N98">
        <v>0</v>
      </c>
      <c r="S98">
        <v>2.75</v>
      </c>
      <c r="T98">
        <v>4.75</v>
      </c>
      <c r="U98">
        <v>4.75</v>
      </c>
      <c r="W98">
        <v>1.08</v>
      </c>
      <c r="X98">
        <v>1</v>
      </c>
      <c r="Y98">
        <v>2.75</v>
      </c>
      <c r="Z98">
        <v>4.75</v>
      </c>
      <c r="AA98">
        <v>4.75</v>
      </c>
      <c r="AB98">
        <v>3.5999999999999997E-2</v>
      </c>
      <c r="AC98">
        <v>1.17</v>
      </c>
      <c r="AK98" t="s">
        <v>98</v>
      </c>
      <c r="AM98" t="s">
        <v>98</v>
      </c>
      <c r="AN98" t="s">
        <v>98</v>
      </c>
      <c r="AO98" t="s">
        <v>98</v>
      </c>
      <c r="AP98" t="s">
        <v>99</v>
      </c>
      <c r="AQ98" t="s">
        <v>102</v>
      </c>
      <c r="AV98" t="s">
        <v>98</v>
      </c>
      <c r="AX98" t="s">
        <v>261</v>
      </c>
      <c r="BF98" t="s">
        <v>421</v>
      </c>
      <c r="BG98" t="s">
        <v>98</v>
      </c>
      <c r="BH98" t="s">
        <v>98</v>
      </c>
      <c r="BI98" t="s">
        <v>98</v>
      </c>
      <c r="BK98" t="s">
        <v>138</v>
      </c>
      <c r="CA98" t="s">
        <v>315</v>
      </c>
      <c r="CB98" t="s">
        <v>261</v>
      </c>
      <c r="CL98" t="s">
        <v>98</v>
      </c>
      <c r="CM98" t="s">
        <v>98</v>
      </c>
      <c r="CN98" t="s">
        <v>156</v>
      </c>
      <c r="CO98" s="1">
        <v>38545</v>
      </c>
      <c r="CP98" s="1">
        <v>43595</v>
      </c>
    </row>
    <row r="99" spans="1:94" x14ac:dyDescent="0.25">
      <c r="A99" s="4" t="s">
        <v>422</v>
      </c>
      <c r="B99" t="str">
        <f xml:space="preserve"> "" &amp; 706411034916</f>
        <v>706411034916</v>
      </c>
      <c r="C99" t="s">
        <v>309</v>
      </c>
      <c r="D99" t="s">
        <v>423</v>
      </c>
      <c r="F99" t="s">
        <v>135</v>
      </c>
      <c r="G99">
        <v>1</v>
      </c>
      <c r="H99">
        <v>1</v>
      </c>
      <c r="I99" t="s">
        <v>97</v>
      </c>
      <c r="J99" s="32">
        <v>10.95</v>
      </c>
      <c r="K99" s="32">
        <v>32.85</v>
      </c>
      <c r="L99">
        <v>0</v>
      </c>
      <c r="N99">
        <v>0</v>
      </c>
      <c r="S99">
        <v>2.75</v>
      </c>
      <c r="T99">
        <v>4.75</v>
      </c>
      <c r="U99">
        <v>4.75</v>
      </c>
      <c r="W99">
        <v>1.08</v>
      </c>
      <c r="X99">
        <v>1</v>
      </c>
      <c r="Y99">
        <v>2.75</v>
      </c>
      <c r="Z99">
        <v>4.75</v>
      </c>
      <c r="AA99">
        <v>4.75</v>
      </c>
      <c r="AB99">
        <v>3.5999999999999997E-2</v>
      </c>
      <c r="AC99">
        <v>1.17</v>
      </c>
      <c r="AK99" t="s">
        <v>98</v>
      </c>
      <c r="AM99" t="s">
        <v>98</v>
      </c>
      <c r="AN99" t="s">
        <v>98</v>
      </c>
      <c r="AO99" t="s">
        <v>98</v>
      </c>
      <c r="AP99" t="s">
        <v>99</v>
      </c>
      <c r="AQ99" t="s">
        <v>102</v>
      </c>
      <c r="AV99" t="s">
        <v>98</v>
      </c>
      <c r="AX99" t="s">
        <v>265</v>
      </c>
      <c r="BF99" t="s">
        <v>424</v>
      </c>
      <c r="BG99" t="s">
        <v>98</v>
      </c>
      <c r="BH99" t="s">
        <v>98</v>
      </c>
      <c r="BI99" t="s">
        <v>98</v>
      </c>
      <c r="BK99" t="s">
        <v>138</v>
      </c>
      <c r="CA99" t="s">
        <v>315</v>
      </c>
      <c r="CB99" t="s">
        <v>265</v>
      </c>
      <c r="CL99" t="s">
        <v>98</v>
      </c>
      <c r="CM99" t="s">
        <v>98</v>
      </c>
      <c r="CN99" t="s">
        <v>156</v>
      </c>
      <c r="CO99" s="1">
        <v>39728</v>
      </c>
      <c r="CP99" s="1">
        <v>43595</v>
      </c>
    </row>
    <row r="100" spans="1:94" x14ac:dyDescent="0.25">
      <c r="A100" s="4" t="s">
        <v>425</v>
      </c>
      <c r="B100" t="str">
        <f xml:space="preserve"> "" &amp; 706411444319</f>
        <v>706411444319</v>
      </c>
      <c r="C100" t="s">
        <v>309</v>
      </c>
      <c r="D100" t="s">
        <v>4411</v>
      </c>
      <c r="F100" t="s">
        <v>135</v>
      </c>
      <c r="G100">
        <v>1</v>
      </c>
      <c r="H100">
        <v>1</v>
      </c>
      <c r="I100" t="s">
        <v>97</v>
      </c>
      <c r="J100" s="32">
        <v>10.95</v>
      </c>
      <c r="K100" s="32">
        <v>32.85</v>
      </c>
      <c r="L100">
        <v>0</v>
      </c>
      <c r="N100">
        <v>0</v>
      </c>
      <c r="S100">
        <v>2.75</v>
      </c>
      <c r="T100">
        <v>4.75</v>
      </c>
      <c r="U100">
        <v>4.75</v>
      </c>
      <c r="W100">
        <v>1.08</v>
      </c>
      <c r="X100">
        <v>1</v>
      </c>
      <c r="Y100">
        <v>2.75</v>
      </c>
      <c r="Z100">
        <v>4.75</v>
      </c>
      <c r="AA100">
        <v>4.75</v>
      </c>
      <c r="AB100">
        <v>3.5999999999999997E-2</v>
      </c>
      <c r="AC100">
        <v>1.17</v>
      </c>
      <c r="AK100" t="s">
        <v>98</v>
      </c>
      <c r="AM100" t="s">
        <v>98</v>
      </c>
      <c r="AN100" t="s">
        <v>98</v>
      </c>
      <c r="AO100" t="s">
        <v>98</v>
      </c>
      <c r="AP100" t="s">
        <v>99</v>
      </c>
      <c r="AQ100" t="s">
        <v>102</v>
      </c>
      <c r="AV100" t="s">
        <v>98</v>
      </c>
      <c r="AX100" t="s">
        <v>426</v>
      </c>
      <c r="BF100" t="s">
        <v>427</v>
      </c>
      <c r="BG100" t="s">
        <v>98</v>
      </c>
      <c r="BH100" t="s">
        <v>98</v>
      </c>
      <c r="BI100" t="s">
        <v>98</v>
      </c>
      <c r="BK100" t="s">
        <v>138</v>
      </c>
      <c r="CA100" t="s">
        <v>315</v>
      </c>
      <c r="CB100" t="s">
        <v>426</v>
      </c>
      <c r="CL100" t="s">
        <v>98</v>
      </c>
      <c r="CM100" t="s">
        <v>98</v>
      </c>
      <c r="CN100" t="s">
        <v>156</v>
      </c>
      <c r="CP100" s="1">
        <v>43595</v>
      </c>
    </row>
    <row r="101" spans="1:94" x14ac:dyDescent="0.25">
      <c r="A101" s="4" t="s">
        <v>428</v>
      </c>
      <c r="B101" t="str">
        <f xml:space="preserve"> "" &amp; 706411044519</f>
        <v>706411044519</v>
      </c>
      <c r="C101" t="s">
        <v>309</v>
      </c>
      <c r="D101" t="s">
        <v>429</v>
      </c>
      <c r="F101" t="s">
        <v>135</v>
      </c>
      <c r="G101">
        <v>1</v>
      </c>
      <c r="H101">
        <v>1</v>
      </c>
      <c r="I101" t="s">
        <v>97</v>
      </c>
      <c r="J101" s="32">
        <v>10.95</v>
      </c>
      <c r="K101" s="32">
        <v>32.85</v>
      </c>
      <c r="L101">
        <v>0</v>
      </c>
      <c r="N101">
        <v>0</v>
      </c>
      <c r="S101">
        <v>2.75</v>
      </c>
      <c r="T101">
        <v>4.75</v>
      </c>
      <c r="U101">
        <v>4.75</v>
      </c>
      <c r="W101">
        <v>1.08</v>
      </c>
      <c r="X101">
        <v>1</v>
      </c>
      <c r="Y101">
        <v>2.75</v>
      </c>
      <c r="Z101">
        <v>4.75</v>
      </c>
      <c r="AA101">
        <v>4.75</v>
      </c>
      <c r="AB101">
        <v>3.5999999999999997E-2</v>
      </c>
      <c r="AC101">
        <v>1.17</v>
      </c>
      <c r="AK101" t="s">
        <v>98</v>
      </c>
      <c r="AM101" t="s">
        <v>98</v>
      </c>
      <c r="AN101" t="s">
        <v>98</v>
      </c>
      <c r="AO101" t="s">
        <v>98</v>
      </c>
      <c r="AP101" t="s">
        <v>99</v>
      </c>
      <c r="AQ101" t="s">
        <v>102</v>
      </c>
      <c r="AV101" t="s">
        <v>98</v>
      </c>
      <c r="AX101" t="s">
        <v>430</v>
      </c>
      <c r="BF101" t="s">
        <v>431</v>
      </c>
      <c r="BG101" t="s">
        <v>98</v>
      </c>
      <c r="BH101" t="s">
        <v>98</v>
      </c>
      <c r="BI101" t="s">
        <v>98</v>
      </c>
      <c r="CB101" t="s">
        <v>430</v>
      </c>
      <c r="CL101" t="s">
        <v>98</v>
      </c>
      <c r="CM101" t="s">
        <v>98</v>
      </c>
      <c r="CP101" s="1">
        <v>43595</v>
      </c>
    </row>
    <row r="102" spans="1:94" x14ac:dyDescent="0.25">
      <c r="A102" s="4" t="s">
        <v>432</v>
      </c>
      <c r="B102" t="str">
        <f xml:space="preserve"> "" &amp; 706411034503</f>
        <v>706411034503</v>
      </c>
      <c r="C102" t="s">
        <v>309</v>
      </c>
      <c r="D102" t="s">
        <v>433</v>
      </c>
      <c r="F102" t="s">
        <v>135</v>
      </c>
      <c r="G102">
        <v>1</v>
      </c>
      <c r="H102">
        <v>1</v>
      </c>
      <c r="I102" t="s">
        <v>97</v>
      </c>
      <c r="J102" s="32">
        <v>10.95</v>
      </c>
      <c r="K102" s="32">
        <v>32.85</v>
      </c>
      <c r="L102">
        <v>0</v>
      </c>
      <c r="N102">
        <v>0</v>
      </c>
      <c r="S102">
        <v>2.75</v>
      </c>
      <c r="T102">
        <v>4.75</v>
      </c>
      <c r="U102">
        <v>4.75</v>
      </c>
      <c r="W102">
        <v>1.08</v>
      </c>
      <c r="X102">
        <v>1</v>
      </c>
      <c r="Y102">
        <v>2.75</v>
      </c>
      <c r="Z102">
        <v>4.75</v>
      </c>
      <c r="AA102">
        <v>4.75</v>
      </c>
      <c r="AB102">
        <v>3.5999999999999997E-2</v>
      </c>
      <c r="AC102">
        <v>1.17</v>
      </c>
      <c r="AK102" t="s">
        <v>98</v>
      </c>
      <c r="AM102" t="s">
        <v>98</v>
      </c>
      <c r="AN102" t="s">
        <v>98</v>
      </c>
      <c r="AO102" t="s">
        <v>98</v>
      </c>
      <c r="AP102" t="s">
        <v>99</v>
      </c>
      <c r="AQ102" t="s">
        <v>102</v>
      </c>
      <c r="AV102" t="s">
        <v>98</v>
      </c>
      <c r="AX102" t="s">
        <v>434</v>
      </c>
      <c r="BF102" t="s">
        <v>435</v>
      </c>
      <c r="BG102" t="s">
        <v>98</v>
      </c>
      <c r="BH102" t="s">
        <v>98</v>
      </c>
      <c r="BI102" t="s">
        <v>98</v>
      </c>
      <c r="BK102" t="s">
        <v>138</v>
      </c>
      <c r="CB102" t="s">
        <v>434</v>
      </c>
      <c r="CL102" t="s">
        <v>98</v>
      </c>
      <c r="CM102" t="s">
        <v>98</v>
      </c>
      <c r="CN102" t="s">
        <v>156</v>
      </c>
      <c r="CO102" s="1">
        <v>39728</v>
      </c>
      <c r="CP102" s="1">
        <v>43595</v>
      </c>
    </row>
    <row r="103" spans="1:94" x14ac:dyDescent="0.25">
      <c r="A103" s="4" t="s">
        <v>436</v>
      </c>
      <c r="B103" t="str">
        <f xml:space="preserve"> "" &amp; 706411043024</f>
        <v>706411043024</v>
      </c>
      <c r="C103" t="s">
        <v>309</v>
      </c>
      <c r="D103" t="s">
        <v>437</v>
      </c>
      <c r="F103" t="s">
        <v>135</v>
      </c>
      <c r="G103">
        <v>1</v>
      </c>
      <c r="H103">
        <v>1</v>
      </c>
      <c r="I103" t="s">
        <v>97</v>
      </c>
      <c r="J103" s="32">
        <v>10.95</v>
      </c>
      <c r="K103" s="32">
        <v>32.85</v>
      </c>
      <c r="L103">
        <v>0</v>
      </c>
      <c r="N103">
        <v>0</v>
      </c>
      <c r="S103">
        <v>2.75</v>
      </c>
      <c r="T103">
        <v>4.75</v>
      </c>
      <c r="U103">
        <v>4.75</v>
      </c>
      <c r="W103">
        <v>1.08</v>
      </c>
      <c r="X103">
        <v>1</v>
      </c>
      <c r="Y103">
        <v>2.75</v>
      </c>
      <c r="Z103">
        <v>4.75</v>
      </c>
      <c r="AA103">
        <v>4.75</v>
      </c>
      <c r="AB103">
        <v>3.5999999999999997E-2</v>
      </c>
      <c r="AC103">
        <v>1.17</v>
      </c>
      <c r="AK103" t="s">
        <v>98</v>
      </c>
      <c r="AM103" t="s">
        <v>98</v>
      </c>
      <c r="AN103" t="s">
        <v>98</v>
      </c>
      <c r="AO103" t="s">
        <v>98</v>
      </c>
      <c r="AP103" t="s">
        <v>99</v>
      </c>
      <c r="AQ103" t="s">
        <v>102</v>
      </c>
      <c r="AV103" t="s">
        <v>98</v>
      </c>
      <c r="AX103" t="s">
        <v>269</v>
      </c>
      <c r="BF103" t="s">
        <v>438</v>
      </c>
      <c r="BG103" t="s">
        <v>98</v>
      </c>
      <c r="BH103" t="s">
        <v>98</v>
      </c>
      <c r="BI103" t="s">
        <v>98</v>
      </c>
      <c r="BK103" t="s">
        <v>138</v>
      </c>
      <c r="CB103" t="s">
        <v>269</v>
      </c>
      <c r="CL103" t="s">
        <v>98</v>
      </c>
      <c r="CM103" t="s">
        <v>98</v>
      </c>
      <c r="CN103" t="s">
        <v>156</v>
      </c>
      <c r="CO103" s="1">
        <v>43414</v>
      </c>
      <c r="CP103" s="1">
        <v>43595</v>
      </c>
    </row>
    <row r="104" spans="1:94" x14ac:dyDescent="0.25">
      <c r="A104" s="4" t="s">
        <v>439</v>
      </c>
      <c r="B104" t="str">
        <f xml:space="preserve"> "" &amp; 706411041846</f>
        <v>706411041846</v>
      </c>
      <c r="C104" t="s">
        <v>309</v>
      </c>
      <c r="D104" t="s">
        <v>440</v>
      </c>
      <c r="F104" t="s">
        <v>135</v>
      </c>
      <c r="G104">
        <v>1</v>
      </c>
      <c r="H104">
        <v>1</v>
      </c>
      <c r="I104" t="s">
        <v>97</v>
      </c>
      <c r="J104" s="32">
        <v>10.95</v>
      </c>
      <c r="K104" s="32">
        <v>32.85</v>
      </c>
      <c r="L104">
        <v>0</v>
      </c>
      <c r="N104">
        <v>0</v>
      </c>
      <c r="S104">
        <v>2.75</v>
      </c>
      <c r="T104">
        <v>4.75</v>
      </c>
      <c r="U104">
        <v>4.75</v>
      </c>
      <c r="W104">
        <v>1.08</v>
      </c>
      <c r="X104">
        <v>1</v>
      </c>
      <c r="Y104">
        <v>2.75</v>
      </c>
      <c r="Z104">
        <v>4.75</v>
      </c>
      <c r="AA104">
        <v>4.75</v>
      </c>
      <c r="AB104">
        <v>3.5999999999999997E-2</v>
      </c>
      <c r="AC104">
        <v>1.17</v>
      </c>
      <c r="AK104" t="s">
        <v>98</v>
      </c>
      <c r="AM104" t="s">
        <v>98</v>
      </c>
      <c r="AN104" t="s">
        <v>98</v>
      </c>
      <c r="AO104" t="s">
        <v>98</v>
      </c>
      <c r="AP104" t="s">
        <v>99</v>
      </c>
      <c r="AQ104" t="s">
        <v>102</v>
      </c>
      <c r="AV104" t="s">
        <v>98</v>
      </c>
      <c r="AX104" t="s">
        <v>441</v>
      </c>
      <c r="BF104" t="s">
        <v>442</v>
      </c>
      <c r="BG104" t="s">
        <v>98</v>
      </c>
      <c r="BH104" t="s">
        <v>98</v>
      </c>
      <c r="BI104" t="s">
        <v>98</v>
      </c>
      <c r="BK104" t="s">
        <v>138</v>
      </c>
      <c r="CA104" t="s">
        <v>315</v>
      </c>
      <c r="CB104" t="s">
        <v>441</v>
      </c>
      <c r="CL104" t="s">
        <v>98</v>
      </c>
      <c r="CM104" t="s">
        <v>98</v>
      </c>
      <c r="CN104" t="s">
        <v>156</v>
      </c>
      <c r="CP104" s="1">
        <v>43595</v>
      </c>
    </row>
    <row r="105" spans="1:94" x14ac:dyDescent="0.25">
      <c r="A105" s="4" t="s">
        <v>443</v>
      </c>
      <c r="B105" t="str">
        <f xml:space="preserve"> "" &amp; 706411030659</f>
        <v>706411030659</v>
      </c>
      <c r="C105" t="s">
        <v>309</v>
      </c>
      <c r="D105" t="s">
        <v>444</v>
      </c>
      <c r="F105" t="s">
        <v>135</v>
      </c>
      <c r="G105">
        <v>1</v>
      </c>
      <c r="H105">
        <v>1</v>
      </c>
      <c r="I105" t="s">
        <v>97</v>
      </c>
      <c r="J105" s="32">
        <v>10.95</v>
      </c>
      <c r="K105" s="32">
        <v>32.85</v>
      </c>
      <c r="L105">
        <v>0</v>
      </c>
      <c r="N105">
        <v>0</v>
      </c>
      <c r="S105">
        <v>2.75</v>
      </c>
      <c r="T105">
        <v>4.75</v>
      </c>
      <c r="U105">
        <v>4.75</v>
      </c>
      <c r="W105">
        <v>1.08</v>
      </c>
      <c r="X105">
        <v>1</v>
      </c>
      <c r="Y105">
        <v>2.75</v>
      </c>
      <c r="Z105">
        <v>4.75</v>
      </c>
      <c r="AA105">
        <v>4.75</v>
      </c>
      <c r="AB105">
        <v>3.5999999999999997E-2</v>
      </c>
      <c r="AC105">
        <v>1.17</v>
      </c>
      <c r="AK105" t="s">
        <v>98</v>
      </c>
      <c r="AM105" t="s">
        <v>98</v>
      </c>
      <c r="AN105" t="s">
        <v>98</v>
      </c>
      <c r="AO105" t="s">
        <v>98</v>
      </c>
      <c r="AP105" t="s">
        <v>99</v>
      </c>
      <c r="AQ105" t="s">
        <v>102</v>
      </c>
      <c r="AV105" t="s">
        <v>98</v>
      </c>
      <c r="AX105" t="s">
        <v>273</v>
      </c>
      <c r="BF105" t="s">
        <v>445</v>
      </c>
      <c r="BG105" t="s">
        <v>98</v>
      </c>
      <c r="BH105" t="s">
        <v>98</v>
      </c>
      <c r="BI105" t="s">
        <v>98</v>
      </c>
      <c r="BK105" t="s">
        <v>138</v>
      </c>
      <c r="CB105" t="s">
        <v>273</v>
      </c>
      <c r="CL105" t="s">
        <v>98</v>
      </c>
      <c r="CM105" t="s">
        <v>98</v>
      </c>
      <c r="CN105" t="s">
        <v>156</v>
      </c>
      <c r="CO105" s="1">
        <v>39728</v>
      </c>
      <c r="CP105" s="1">
        <v>43595</v>
      </c>
    </row>
    <row r="106" spans="1:94" x14ac:dyDescent="0.25">
      <c r="A106" s="4" t="s">
        <v>446</v>
      </c>
      <c r="B106" t="str">
        <f xml:space="preserve"> "" &amp; 706411030666</f>
        <v>706411030666</v>
      </c>
      <c r="C106" t="s">
        <v>309</v>
      </c>
      <c r="D106" t="s">
        <v>447</v>
      </c>
      <c r="F106" t="s">
        <v>135</v>
      </c>
      <c r="G106">
        <v>1</v>
      </c>
      <c r="H106">
        <v>1</v>
      </c>
      <c r="I106" t="s">
        <v>97</v>
      </c>
      <c r="J106" s="32">
        <v>10.95</v>
      </c>
      <c r="K106" s="32">
        <v>32.85</v>
      </c>
      <c r="L106">
        <v>0</v>
      </c>
      <c r="N106">
        <v>0</v>
      </c>
      <c r="S106">
        <v>2.75</v>
      </c>
      <c r="T106">
        <v>4.75</v>
      </c>
      <c r="U106">
        <v>4.75</v>
      </c>
      <c r="W106">
        <v>1.08</v>
      </c>
      <c r="X106">
        <v>1</v>
      </c>
      <c r="Y106">
        <v>2.75</v>
      </c>
      <c r="Z106">
        <v>4.75</v>
      </c>
      <c r="AA106">
        <v>4.75</v>
      </c>
      <c r="AB106">
        <v>3.5999999999999997E-2</v>
      </c>
      <c r="AC106">
        <v>1.17</v>
      </c>
      <c r="AK106" t="s">
        <v>98</v>
      </c>
      <c r="AM106" t="s">
        <v>98</v>
      </c>
      <c r="AN106" t="s">
        <v>98</v>
      </c>
      <c r="AO106" t="s">
        <v>98</v>
      </c>
      <c r="AP106" t="s">
        <v>99</v>
      </c>
      <c r="AQ106" t="s">
        <v>102</v>
      </c>
      <c r="AV106" t="s">
        <v>98</v>
      </c>
      <c r="AX106" t="s">
        <v>277</v>
      </c>
      <c r="BF106" t="s">
        <v>448</v>
      </c>
      <c r="BG106" t="s">
        <v>98</v>
      </c>
      <c r="BH106" t="s">
        <v>98</v>
      </c>
      <c r="BI106" t="s">
        <v>98</v>
      </c>
      <c r="CB106" t="s">
        <v>277</v>
      </c>
      <c r="CL106" t="s">
        <v>98</v>
      </c>
      <c r="CM106" t="s">
        <v>98</v>
      </c>
      <c r="CP106" s="1">
        <v>43595</v>
      </c>
    </row>
    <row r="107" spans="1:94" x14ac:dyDescent="0.25">
      <c r="A107" s="4" t="s">
        <v>449</v>
      </c>
      <c r="B107" t="str">
        <f xml:space="preserve"> "" &amp; 706411061387</f>
        <v>706411061387</v>
      </c>
      <c r="C107" t="s">
        <v>309</v>
      </c>
      <c r="D107" t="s">
        <v>450</v>
      </c>
      <c r="F107" t="s">
        <v>135</v>
      </c>
      <c r="G107">
        <v>1</v>
      </c>
      <c r="H107">
        <v>1</v>
      </c>
      <c r="I107" t="s">
        <v>97</v>
      </c>
      <c r="J107" s="32">
        <v>10.95</v>
      </c>
      <c r="K107" s="32">
        <v>32.85</v>
      </c>
      <c r="L107">
        <v>0</v>
      </c>
      <c r="N107">
        <v>0</v>
      </c>
      <c r="S107">
        <v>2.75</v>
      </c>
      <c r="T107">
        <v>4.75</v>
      </c>
      <c r="U107">
        <v>4.75</v>
      </c>
      <c r="W107">
        <v>1.08</v>
      </c>
      <c r="X107">
        <v>1</v>
      </c>
      <c r="Y107">
        <v>2.75</v>
      </c>
      <c r="Z107">
        <v>4.75</v>
      </c>
      <c r="AA107">
        <v>4.75</v>
      </c>
      <c r="AB107">
        <v>3.5999999999999997E-2</v>
      </c>
      <c r="AC107">
        <v>1.17</v>
      </c>
      <c r="AK107" t="s">
        <v>98</v>
      </c>
      <c r="AM107" t="s">
        <v>98</v>
      </c>
      <c r="AN107" t="s">
        <v>98</v>
      </c>
      <c r="AO107" t="s">
        <v>98</v>
      </c>
      <c r="AP107" t="s">
        <v>99</v>
      </c>
      <c r="AQ107" t="s">
        <v>102</v>
      </c>
      <c r="AV107" t="s">
        <v>98</v>
      </c>
      <c r="AX107" t="s">
        <v>281</v>
      </c>
      <c r="BF107" t="s">
        <v>451</v>
      </c>
      <c r="BG107" t="s">
        <v>98</v>
      </c>
      <c r="BH107" t="s">
        <v>98</v>
      </c>
      <c r="BI107" t="s">
        <v>98</v>
      </c>
      <c r="BK107" t="s">
        <v>138</v>
      </c>
      <c r="CB107" t="s">
        <v>281</v>
      </c>
      <c r="CL107" t="s">
        <v>98</v>
      </c>
      <c r="CM107" t="s">
        <v>98</v>
      </c>
      <c r="CN107" t="s">
        <v>349</v>
      </c>
      <c r="CP107" s="1">
        <v>43595</v>
      </c>
    </row>
    <row r="108" spans="1:94" x14ac:dyDescent="0.25">
      <c r="A108" s="4" t="s">
        <v>452</v>
      </c>
      <c r="B108" t="str">
        <f xml:space="preserve"> "" &amp; 706411030673</f>
        <v>706411030673</v>
      </c>
      <c r="C108" t="s">
        <v>309</v>
      </c>
      <c r="D108" t="s">
        <v>4412</v>
      </c>
      <c r="F108" t="s">
        <v>135</v>
      </c>
      <c r="G108">
        <v>1</v>
      </c>
      <c r="H108">
        <v>1</v>
      </c>
      <c r="I108" t="s">
        <v>97</v>
      </c>
      <c r="J108" s="32">
        <v>10.95</v>
      </c>
      <c r="K108" s="32">
        <v>32.85</v>
      </c>
      <c r="L108">
        <v>0</v>
      </c>
      <c r="N108">
        <v>0</v>
      </c>
      <c r="S108">
        <v>2.75</v>
      </c>
      <c r="T108">
        <v>4.75</v>
      </c>
      <c r="U108">
        <v>4.75</v>
      </c>
      <c r="W108">
        <v>1.08</v>
      </c>
      <c r="X108">
        <v>1</v>
      </c>
      <c r="Y108">
        <v>2.75</v>
      </c>
      <c r="Z108">
        <v>4.75</v>
      </c>
      <c r="AA108">
        <v>4.75</v>
      </c>
      <c r="AB108">
        <v>3.5999999999999997E-2</v>
      </c>
      <c r="AC108">
        <v>1.17</v>
      </c>
      <c r="AK108" t="s">
        <v>98</v>
      </c>
      <c r="AM108" t="s">
        <v>98</v>
      </c>
      <c r="AN108" t="s">
        <v>98</v>
      </c>
      <c r="AO108" t="s">
        <v>98</v>
      </c>
      <c r="AP108" t="s">
        <v>99</v>
      </c>
      <c r="AQ108" t="s">
        <v>102</v>
      </c>
      <c r="AV108" t="s">
        <v>98</v>
      </c>
      <c r="AX108" t="s">
        <v>284</v>
      </c>
      <c r="BF108" t="s">
        <v>453</v>
      </c>
      <c r="BG108" t="s">
        <v>98</v>
      </c>
      <c r="BH108" t="s">
        <v>98</v>
      </c>
      <c r="BI108" t="s">
        <v>98</v>
      </c>
      <c r="BK108" t="s">
        <v>138</v>
      </c>
      <c r="CA108" t="s">
        <v>315</v>
      </c>
      <c r="CB108" t="s">
        <v>284</v>
      </c>
      <c r="CL108" t="s">
        <v>98</v>
      </c>
      <c r="CM108" t="s">
        <v>98</v>
      </c>
      <c r="CN108" t="s">
        <v>156</v>
      </c>
      <c r="CO108" s="1">
        <v>38545</v>
      </c>
      <c r="CP108" s="1">
        <v>43595</v>
      </c>
    </row>
    <row r="109" spans="1:94" x14ac:dyDescent="0.25">
      <c r="A109" s="4" t="s">
        <v>454</v>
      </c>
      <c r="B109" t="str">
        <f xml:space="preserve"> "" &amp; 706411062360</f>
        <v>706411062360</v>
      </c>
      <c r="C109" t="s">
        <v>309</v>
      </c>
      <c r="D109" t="s">
        <v>455</v>
      </c>
      <c r="F109" t="s">
        <v>135</v>
      </c>
      <c r="G109">
        <v>1</v>
      </c>
      <c r="H109">
        <v>1</v>
      </c>
      <c r="I109" t="s">
        <v>97</v>
      </c>
      <c r="J109" s="32">
        <v>10.95</v>
      </c>
      <c r="K109" s="32">
        <v>32.85</v>
      </c>
      <c r="L109">
        <v>0</v>
      </c>
      <c r="N109">
        <v>0</v>
      </c>
      <c r="S109">
        <v>2.75</v>
      </c>
      <c r="T109">
        <v>4.75</v>
      </c>
      <c r="U109">
        <v>4.75</v>
      </c>
      <c r="W109">
        <v>1.08</v>
      </c>
      <c r="X109">
        <v>1</v>
      </c>
      <c r="Y109">
        <v>2.75</v>
      </c>
      <c r="Z109">
        <v>4.75</v>
      </c>
      <c r="AA109">
        <v>4.75</v>
      </c>
      <c r="AB109">
        <v>3.5999999999999997E-2</v>
      </c>
      <c r="AC109">
        <v>1.17</v>
      </c>
      <c r="AK109" t="s">
        <v>98</v>
      </c>
      <c r="AM109" t="s">
        <v>98</v>
      </c>
      <c r="AN109" t="s">
        <v>98</v>
      </c>
      <c r="AO109" t="s">
        <v>98</v>
      </c>
      <c r="AP109" t="s">
        <v>99</v>
      </c>
      <c r="AQ109" t="s">
        <v>102</v>
      </c>
      <c r="AV109" t="s">
        <v>98</v>
      </c>
      <c r="AX109" t="s">
        <v>289</v>
      </c>
      <c r="BF109" t="s">
        <v>456</v>
      </c>
      <c r="BG109" t="s">
        <v>98</v>
      </c>
      <c r="BH109" t="s">
        <v>98</v>
      </c>
      <c r="BI109" t="s">
        <v>98</v>
      </c>
      <c r="BJ109" t="s">
        <v>291</v>
      </c>
      <c r="BK109" t="s">
        <v>292</v>
      </c>
      <c r="CA109" t="s">
        <v>315</v>
      </c>
      <c r="CB109" t="s">
        <v>289</v>
      </c>
      <c r="CL109" t="s">
        <v>98</v>
      </c>
      <c r="CM109" t="s">
        <v>291</v>
      </c>
      <c r="CN109" t="s">
        <v>349</v>
      </c>
      <c r="CO109" s="1">
        <v>43571</v>
      </c>
      <c r="CP109" s="1">
        <v>43588</v>
      </c>
    </row>
    <row r="110" spans="1:94" x14ac:dyDescent="0.25">
      <c r="A110" s="4" t="s">
        <v>457</v>
      </c>
      <c r="B110" t="str">
        <f xml:space="preserve"> "" &amp; 706411030710</f>
        <v>706411030710</v>
      </c>
      <c r="C110" t="s">
        <v>309</v>
      </c>
      <c r="D110" t="s">
        <v>4414</v>
      </c>
      <c r="F110" t="s">
        <v>135</v>
      </c>
      <c r="G110">
        <v>1</v>
      </c>
      <c r="H110">
        <v>1</v>
      </c>
      <c r="I110" t="s">
        <v>97</v>
      </c>
      <c r="J110" s="32">
        <v>10.95</v>
      </c>
      <c r="K110" s="32">
        <v>32.85</v>
      </c>
      <c r="L110">
        <v>0</v>
      </c>
      <c r="N110">
        <v>0</v>
      </c>
      <c r="S110">
        <v>2.75</v>
      </c>
      <c r="T110">
        <v>4.75</v>
      </c>
      <c r="U110">
        <v>4.75</v>
      </c>
      <c r="W110">
        <v>1.08</v>
      </c>
      <c r="X110">
        <v>1</v>
      </c>
      <c r="Y110">
        <v>2.75</v>
      </c>
      <c r="Z110">
        <v>4.75</v>
      </c>
      <c r="AA110">
        <v>4.75</v>
      </c>
      <c r="AB110">
        <v>3.5999999999999997E-2</v>
      </c>
      <c r="AC110">
        <v>1.17</v>
      </c>
      <c r="AK110" t="s">
        <v>98</v>
      </c>
      <c r="AM110" t="s">
        <v>98</v>
      </c>
      <c r="AN110" t="s">
        <v>98</v>
      </c>
      <c r="AO110" t="s">
        <v>98</v>
      </c>
      <c r="AP110" t="s">
        <v>99</v>
      </c>
      <c r="AQ110" t="s">
        <v>102</v>
      </c>
      <c r="AV110" t="s">
        <v>98</v>
      </c>
      <c r="AX110" t="s">
        <v>458</v>
      </c>
      <c r="BF110" t="s">
        <v>459</v>
      </c>
      <c r="BG110" t="s">
        <v>98</v>
      </c>
      <c r="BH110" t="s">
        <v>98</v>
      </c>
      <c r="BI110" t="s">
        <v>98</v>
      </c>
      <c r="BK110" t="s">
        <v>138</v>
      </c>
      <c r="CB110" t="s">
        <v>458</v>
      </c>
      <c r="CL110" t="s">
        <v>98</v>
      </c>
      <c r="CM110" t="s">
        <v>98</v>
      </c>
      <c r="CN110" t="s">
        <v>156</v>
      </c>
      <c r="CO110" s="1">
        <v>38545</v>
      </c>
      <c r="CP110" s="1">
        <v>43595</v>
      </c>
    </row>
    <row r="111" spans="1:94" x14ac:dyDescent="0.25">
      <c r="A111" s="4" t="s">
        <v>460</v>
      </c>
      <c r="B111" t="str">
        <f xml:space="preserve"> "" &amp; 706411043536</f>
        <v>706411043536</v>
      </c>
      <c r="C111" t="s">
        <v>309</v>
      </c>
      <c r="D111" t="s">
        <v>461</v>
      </c>
      <c r="F111" t="s">
        <v>135</v>
      </c>
      <c r="G111">
        <v>1</v>
      </c>
      <c r="H111">
        <v>1</v>
      </c>
      <c r="I111" t="s">
        <v>97</v>
      </c>
      <c r="J111" s="32">
        <v>10.95</v>
      </c>
      <c r="K111" s="32">
        <v>32.85</v>
      </c>
      <c r="L111">
        <v>0</v>
      </c>
      <c r="N111">
        <v>0</v>
      </c>
      <c r="S111">
        <v>2.75</v>
      </c>
      <c r="T111">
        <v>4.75</v>
      </c>
      <c r="U111">
        <v>4.75</v>
      </c>
      <c r="W111">
        <v>1.08</v>
      </c>
      <c r="X111">
        <v>1</v>
      </c>
      <c r="Y111">
        <v>2.75</v>
      </c>
      <c r="Z111">
        <v>4.75</v>
      </c>
      <c r="AA111">
        <v>4.75</v>
      </c>
      <c r="AB111">
        <v>3.5999999999999997E-2</v>
      </c>
      <c r="AC111">
        <v>1.17</v>
      </c>
      <c r="AK111" t="s">
        <v>98</v>
      </c>
      <c r="AM111" t="s">
        <v>98</v>
      </c>
      <c r="AN111" t="s">
        <v>98</v>
      </c>
      <c r="AO111" t="s">
        <v>98</v>
      </c>
      <c r="AP111" t="s">
        <v>99</v>
      </c>
      <c r="AQ111" t="s">
        <v>102</v>
      </c>
      <c r="AV111" t="s">
        <v>98</v>
      </c>
      <c r="AX111" t="s">
        <v>295</v>
      </c>
      <c r="BF111" t="s">
        <v>462</v>
      </c>
      <c r="BG111" t="s">
        <v>98</v>
      </c>
      <c r="BH111" t="s">
        <v>98</v>
      </c>
      <c r="BI111" t="s">
        <v>98</v>
      </c>
      <c r="CB111" t="s">
        <v>295</v>
      </c>
      <c r="CL111" t="s">
        <v>98</v>
      </c>
      <c r="CM111" t="s">
        <v>98</v>
      </c>
      <c r="CP111" s="1">
        <v>43595</v>
      </c>
    </row>
    <row r="112" spans="1:94" x14ac:dyDescent="0.25">
      <c r="A112" s="4" t="s">
        <v>463</v>
      </c>
      <c r="B112" t="str">
        <f xml:space="preserve"> "" &amp; 706411030727</f>
        <v>706411030727</v>
      </c>
      <c r="C112" t="s">
        <v>309</v>
      </c>
      <c r="D112" t="s">
        <v>4413</v>
      </c>
      <c r="F112" t="s">
        <v>135</v>
      </c>
      <c r="G112">
        <v>1</v>
      </c>
      <c r="H112">
        <v>1</v>
      </c>
      <c r="I112" t="s">
        <v>97</v>
      </c>
      <c r="J112" s="32">
        <v>10.95</v>
      </c>
      <c r="K112" s="32">
        <v>32.85</v>
      </c>
      <c r="L112">
        <v>0</v>
      </c>
      <c r="N112">
        <v>0</v>
      </c>
      <c r="S112">
        <v>2.75</v>
      </c>
      <c r="T112">
        <v>4.75</v>
      </c>
      <c r="U112">
        <v>4.75</v>
      </c>
      <c r="W112">
        <v>1.08</v>
      </c>
      <c r="X112">
        <v>1</v>
      </c>
      <c r="Y112">
        <v>2.75</v>
      </c>
      <c r="Z112">
        <v>4.75</v>
      </c>
      <c r="AA112">
        <v>4.75</v>
      </c>
      <c r="AB112">
        <v>3.5999999999999997E-2</v>
      </c>
      <c r="AC112">
        <v>1.17</v>
      </c>
      <c r="AK112" t="s">
        <v>98</v>
      </c>
      <c r="AM112" t="s">
        <v>98</v>
      </c>
      <c r="AN112" t="s">
        <v>98</v>
      </c>
      <c r="AO112" t="s">
        <v>98</v>
      </c>
      <c r="AP112" t="s">
        <v>99</v>
      </c>
      <c r="AQ112" t="s">
        <v>102</v>
      </c>
      <c r="AV112" t="s">
        <v>98</v>
      </c>
      <c r="AX112" t="s">
        <v>298</v>
      </c>
      <c r="BF112" t="s">
        <v>464</v>
      </c>
      <c r="BG112" t="s">
        <v>98</v>
      </c>
      <c r="BH112" t="s">
        <v>98</v>
      </c>
      <c r="BI112" t="s">
        <v>98</v>
      </c>
      <c r="BK112" t="s">
        <v>138</v>
      </c>
      <c r="CA112" t="s">
        <v>315</v>
      </c>
      <c r="CB112" t="s">
        <v>298</v>
      </c>
      <c r="CL112" t="s">
        <v>98</v>
      </c>
      <c r="CM112" t="s">
        <v>98</v>
      </c>
      <c r="CN112" t="s">
        <v>156</v>
      </c>
      <c r="CO112" s="1">
        <v>38545</v>
      </c>
      <c r="CP112" s="1">
        <v>43595</v>
      </c>
    </row>
    <row r="113" spans="1:94" x14ac:dyDescent="0.25">
      <c r="A113" s="4" t="s">
        <v>465</v>
      </c>
      <c r="B113" t="str">
        <f xml:space="preserve"> "" &amp; 706411030734</f>
        <v>706411030734</v>
      </c>
      <c r="C113" t="s">
        <v>309</v>
      </c>
      <c r="D113" t="s">
        <v>466</v>
      </c>
      <c r="F113" t="s">
        <v>135</v>
      </c>
      <c r="G113">
        <v>1</v>
      </c>
      <c r="H113">
        <v>1</v>
      </c>
      <c r="I113" t="s">
        <v>97</v>
      </c>
      <c r="J113" s="32">
        <v>10.95</v>
      </c>
      <c r="K113" s="32">
        <v>32.85</v>
      </c>
      <c r="L113">
        <v>0</v>
      </c>
      <c r="N113">
        <v>0</v>
      </c>
      <c r="S113">
        <v>2.75</v>
      </c>
      <c r="T113">
        <v>4.75</v>
      </c>
      <c r="U113">
        <v>4.75</v>
      </c>
      <c r="W113">
        <v>1.08</v>
      </c>
      <c r="X113">
        <v>1</v>
      </c>
      <c r="Y113">
        <v>2.75</v>
      </c>
      <c r="Z113">
        <v>4.75</v>
      </c>
      <c r="AA113">
        <v>4.75</v>
      </c>
      <c r="AB113">
        <v>3.5999999999999997E-2</v>
      </c>
      <c r="AC113">
        <v>1.17</v>
      </c>
      <c r="AK113" t="s">
        <v>98</v>
      </c>
      <c r="AM113" t="s">
        <v>98</v>
      </c>
      <c r="AN113" t="s">
        <v>98</v>
      </c>
      <c r="AO113" t="s">
        <v>98</v>
      </c>
      <c r="AP113" t="s">
        <v>99</v>
      </c>
      <c r="AQ113" t="s">
        <v>102</v>
      </c>
      <c r="AV113" t="s">
        <v>98</v>
      </c>
      <c r="AX113" t="s">
        <v>302</v>
      </c>
      <c r="BF113" t="s">
        <v>467</v>
      </c>
      <c r="BG113" t="s">
        <v>98</v>
      </c>
      <c r="BH113" t="s">
        <v>98</v>
      </c>
      <c r="BI113" t="s">
        <v>98</v>
      </c>
      <c r="BK113" t="s">
        <v>138</v>
      </c>
      <c r="CA113" t="s">
        <v>315</v>
      </c>
      <c r="CB113" t="s">
        <v>302</v>
      </c>
      <c r="CL113" t="s">
        <v>98</v>
      </c>
      <c r="CM113" t="s">
        <v>98</v>
      </c>
      <c r="CN113" t="s">
        <v>156</v>
      </c>
      <c r="CO113" s="1">
        <v>38545</v>
      </c>
      <c r="CP113" s="1">
        <v>43595</v>
      </c>
    </row>
    <row r="114" spans="1:94" x14ac:dyDescent="0.25">
      <c r="A114" s="4" t="s">
        <v>468</v>
      </c>
      <c r="B114" t="str">
        <f xml:space="preserve"> "" &amp; 706411030741</f>
        <v>706411030741</v>
      </c>
      <c r="C114" t="s">
        <v>309</v>
      </c>
      <c r="D114" t="s">
        <v>469</v>
      </c>
      <c r="F114" t="s">
        <v>135</v>
      </c>
      <c r="G114">
        <v>1</v>
      </c>
      <c r="H114">
        <v>1</v>
      </c>
      <c r="I114" t="s">
        <v>97</v>
      </c>
      <c r="J114" s="32">
        <v>10.95</v>
      </c>
      <c r="K114" s="32">
        <v>32.85</v>
      </c>
      <c r="L114">
        <v>0</v>
      </c>
      <c r="N114">
        <v>0</v>
      </c>
      <c r="S114">
        <v>2.75</v>
      </c>
      <c r="T114">
        <v>4.75</v>
      </c>
      <c r="U114">
        <v>4.75</v>
      </c>
      <c r="W114">
        <v>1.08</v>
      </c>
      <c r="X114">
        <v>1</v>
      </c>
      <c r="Y114">
        <v>2.75</v>
      </c>
      <c r="Z114">
        <v>4.75</v>
      </c>
      <c r="AA114">
        <v>4.75</v>
      </c>
      <c r="AB114">
        <v>3.5999999999999997E-2</v>
      </c>
      <c r="AC114">
        <v>1.17</v>
      </c>
      <c r="AK114" t="s">
        <v>98</v>
      </c>
      <c r="AM114" t="s">
        <v>98</v>
      </c>
      <c r="AN114" t="s">
        <v>98</v>
      </c>
      <c r="AO114" t="s">
        <v>98</v>
      </c>
      <c r="AP114" t="s">
        <v>99</v>
      </c>
      <c r="AQ114" t="s">
        <v>102</v>
      </c>
      <c r="AV114" t="s">
        <v>98</v>
      </c>
      <c r="AX114" t="s">
        <v>306</v>
      </c>
      <c r="BF114" t="s">
        <v>470</v>
      </c>
      <c r="BG114" t="s">
        <v>98</v>
      </c>
      <c r="BH114" t="s">
        <v>98</v>
      </c>
      <c r="BI114" t="s">
        <v>98</v>
      </c>
      <c r="BK114" t="s">
        <v>138</v>
      </c>
      <c r="CA114" t="s">
        <v>315</v>
      </c>
      <c r="CB114" t="s">
        <v>306</v>
      </c>
      <c r="CL114" t="s">
        <v>98</v>
      </c>
      <c r="CM114" t="s">
        <v>98</v>
      </c>
      <c r="CN114" t="s">
        <v>156</v>
      </c>
      <c r="CO114" s="1">
        <v>38545</v>
      </c>
      <c r="CP114" s="1">
        <v>43595</v>
      </c>
    </row>
    <row r="115" spans="1:94" x14ac:dyDescent="0.25">
      <c r="A115" s="4" t="s">
        <v>471</v>
      </c>
      <c r="B115" t="str">
        <f xml:space="preserve"> "" &amp; 706411054297</f>
        <v>706411054297</v>
      </c>
      <c r="C115" t="s">
        <v>472</v>
      </c>
      <c r="D115" t="s">
        <v>4482</v>
      </c>
      <c r="F115" t="s">
        <v>135</v>
      </c>
      <c r="G115">
        <v>1</v>
      </c>
      <c r="H115">
        <v>1</v>
      </c>
      <c r="I115" t="s">
        <v>97</v>
      </c>
      <c r="J115" s="32">
        <v>15</v>
      </c>
      <c r="K115" s="32">
        <v>45</v>
      </c>
      <c r="L115">
        <v>0</v>
      </c>
      <c r="N115">
        <v>0</v>
      </c>
      <c r="S115">
        <v>2.63</v>
      </c>
      <c r="T115">
        <v>6.63</v>
      </c>
      <c r="U115">
        <v>6.63</v>
      </c>
      <c r="W115">
        <v>1.1200000000000001</v>
      </c>
      <c r="X115">
        <v>1</v>
      </c>
      <c r="Y115">
        <v>7.88</v>
      </c>
      <c r="Z115">
        <v>28.13</v>
      </c>
      <c r="AA115">
        <v>24.5</v>
      </c>
      <c r="AB115">
        <v>3.1429999999999998</v>
      </c>
      <c r="AC115">
        <v>1.37</v>
      </c>
      <c r="AK115" t="s">
        <v>98</v>
      </c>
      <c r="AM115" t="s">
        <v>98</v>
      </c>
      <c r="AN115" t="s">
        <v>98</v>
      </c>
      <c r="AO115" t="s">
        <v>98</v>
      </c>
      <c r="AP115" t="s">
        <v>99</v>
      </c>
      <c r="AQ115" t="s">
        <v>102</v>
      </c>
      <c r="AV115" t="s">
        <v>98</v>
      </c>
      <c r="AX115" t="s">
        <v>317</v>
      </c>
      <c r="AZ115" t="s">
        <v>109</v>
      </c>
      <c r="BF115" t="s">
        <v>473</v>
      </c>
      <c r="BG115" t="s">
        <v>98</v>
      </c>
      <c r="BH115" t="s">
        <v>98</v>
      </c>
      <c r="BI115" t="s">
        <v>98</v>
      </c>
      <c r="BJ115" t="s">
        <v>291</v>
      </c>
      <c r="BK115" t="s">
        <v>292</v>
      </c>
      <c r="CB115" t="s">
        <v>317</v>
      </c>
      <c r="CL115" t="s">
        <v>98</v>
      </c>
      <c r="CM115" t="s">
        <v>98</v>
      </c>
      <c r="CN115" t="s">
        <v>349</v>
      </c>
      <c r="CO115" s="1">
        <v>42432</v>
      </c>
      <c r="CP115" s="1">
        <v>43595</v>
      </c>
    </row>
    <row r="116" spans="1:94" x14ac:dyDescent="0.25">
      <c r="A116" s="4" t="s">
        <v>474</v>
      </c>
      <c r="B116" t="str">
        <f xml:space="preserve"> "" &amp; 706411054365</f>
        <v>706411054365</v>
      </c>
      <c r="C116" t="s">
        <v>472</v>
      </c>
      <c r="D116" t="s">
        <v>244</v>
      </c>
      <c r="F116" t="s">
        <v>135</v>
      </c>
      <c r="G116">
        <v>1</v>
      </c>
      <c r="H116">
        <v>1</v>
      </c>
      <c r="I116" t="s">
        <v>97</v>
      </c>
      <c r="J116" s="32">
        <v>15</v>
      </c>
      <c r="K116" s="32">
        <v>45</v>
      </c>
      <c r="L116">
        <v>0</v>
      </c>
      <c r="N116">
        <v>0</v>
      </c>
      <c r="S116">
        <v>2.63</v>
      </c>
      <c r="T116">
        <v>6.63</v>
      </c>
      <c r="U116">
        <v>6.63</v>
      </c>
      <c r="W116">
        <v>1.1200000000000001</v>
      </c>
      <c r="X116">
        <v>1</v>
      </c>
      <c r="Y116">
        <v>7.88</v>
      </c>
      <c r="Z116">
        <v>28.13</v>
      </c>
      <c r="AA116">
        <v>24.5</v>
      </c>
      <c r="AB116">
        <v>3.1429999999999998</v>
      </c>
      <c r="AC116">
        <v>1.37</v>
      </c>
      <c r="AK116" t="s">
        <v>98</v>
      </c>
      <c r="AM116" t="s">
        <v>98</v>
      </c>
      <c r="AN116" t="s">
        <v>98</v>
      </c>
      <c r="AO116" t="s">
        <v>98</v>
      </c>
      <c r="AP116" t="s">
        <v>99</v>
      </c>
      <c r="AQ116" t="s">
        <v>102</v>
      </c>
      <c r="AV116" t="s">
        <v>98</v>
      </c>
      <c r="AX116" t="s">
        <v>245</v>
      </c>
      <c r="AZ116" t="s">
        <v>109</v>
      </c>
      <c r="BF116" t="s">
        <v>475</v>
      </c>
      <c r="BG116" t="s">
        <v>98</v>
      </c>
      <c r="BH116" t="s">
        <v>98</v>
      </c>
      <c r="BI116" t="s">
        <v>98</v>
      </c>
      <c r="BJ116" t="s">
        <v>291</v>
      </c>
      <c r="BK116" t="s">
        <v>292</v>
      </c>
      <c r="CA116" t="s">
        <v>476</v>
      </c>
      <c r="CB116" t="s">
        <v>245</v>
      </c>
      <c r="CL116" t="s">
        <v>98</v>
      </c>
      <c r="CM116" t="s">
        <v>98</v>
      </c>
      <c r="CN116" t="s">
        <v>349</v>
      </c>
      <c r="CO116" s="1">
        <v>42432</v>
      </c>
      <c r="CP116" s="1">
        <v>43595</v>
      </c>
    </row>
    <row r="117" spans="1:94" x14ac:dyDescent="0.25">
      <c r="A117" s="4" t="s">
        <v>477</v>
      </c>
      <c r="B117" t="str">
        <f xml:space="preserve"> "" &amp; 706411054372</f>
        <v>706411054372</v>
      </c>
      <c r="C117" t="s">
        <v>472</v>
      </c>
      <c r="D117" t="s">
        <v>478</v>
      </c>
      <c r="F117" t="s">
        <v>135</v>
      </c>
      <c r="G117">
        <v>1</v>
      </c>
      <c r="H117">
        <v>1</v>
      </c>
      <c r="I117" t="s">
        <v>97</v>
      </c>
      <c r="J117" s="32">
        <v>15</v>
      </c>
      <c r="K117" s="32">
        <v>45</v>
      </c>
      <c r="L117">
        <v>0</v>
      </c>
      <c r="N117">
        <v>0</v>
      </c>
      <c r="S117">
        <v>2.63</v>
      </c>
      <c r="T117">
        <v>6.63</v>
      </c>
      <c r="U117">
        <v>6.63</v>
      </c>
      <c r="W117">
        <v>1.1200000000000001</v>
      </c>
      <c r="X117">
        <v>1</v>
      </c>
      <c r="Y117">
        <v>7.88</v>
      </c>
      <c r="Z117">
        <v>28.13</v>
      </c>
      <c r="AA117">
        <v>24.5</v>
      </c>
      <c r="AB117">
        <v>3.1429999999999998</v>
      </c>
      <c r="AC117">
        <v>1.37</v>
      </c>
      <c r="AK117" t="s">
        <v>98</v>
      </c>
      <c r="AM117" t="s">
        <v>98</v>
      </c>
      <c r="AN117" t="s">
        <v>98</v>
      </c>
      <c r="AO117" t="s">
        <v>98</v>
      </c>
      <c r="AP117" t="s">
        <v>99</v>
      </c>
      <c r="AQ117" t="s">
        <v>102</v>
      </c>
      <c r="AV117" t="s">
        <v>98</v>
      </c>
      <c r="AX117" t="s">
        <v>306</v>
      </c>
      <c r="AZ117" t="s">
        <v>109</v>
      </c>
      <c r="BF117" t="s">
        <v>479</v>
      </c>
      <c r="BG117" t="s">
        <v>98</v>
      </c>
      <c r="BH117" t="s">
        <v>98</v>
      </c>
      <c r="BI117" t="s">
        <v>98</v>
      </c>
      <c r="BJ117" t="s">
        <v>291</v>
      </c>
      <c r="BK117" t="s">
        <v>292</v>
      </c>
      <c r="CB117" t="s">
        <v>306</v>
      </c>
      <c r="CL117" t="s">
        <v>98</v>
      </c>
      <c r="CM117" t="s">
        <v>291</v>
      </c>
      <c r="CN117" t="s">
        <v>349</v>
      </c>
      <c r="CO117" s="1">
        <v>42459</v>
      </c>
      <c r="CP117" s="1">
        <v>43595</v>
      </c>
    </row>
    <row r="118" spans="1:94" x14ac:dyDescent="0.25">
      <c r="A118" s="4" t="s">
        <v>480</v>
      </c>
      <c r="B118" t="str">
        <f xml:space="preserve"> "" &amp; 706411029035</f>
        <v>706411029035</v>
      </c>
      <c r="C118" t="s">
        <v>481</v>
      </c>
      <c r="D118" t="s">
        <v>482</v>
      </c>
      <c r="F118" t="s">
        <v>135</v>
      </c>
      <c r="G118">
        <v>1</v>
      </c>
      <c r="H118">
        <v>1</v>
      </c>
      <c r="I118" t="s">
        <v>97</v>
      </c>
      <c r="J118" s="32">
        <v>2.5</v>
      </c>
      <c r="K118" s="32">
        <v>7.5</v>
      </c>
      <c r="L118">
        <v>0</v>
      </c>
      <c r="N118">
        <v>0</v>
      </c>
      <c r="S118">
        <v>0.5</v>
      </c>
      <c r="T118">
        <v>2.5</v>
      </c>
      <c r="U118">
        <v>2.5</v>
      </c>
      <c r="W118">
        <v>0.11</v>
      </c>
      <c r="X118">
        <v>1</v>
      </c>
      <c r="AB118">
        <v>6.8999999999999999E-3</v>
      </c>
      <c r="AC118">
        <v>0.13900000000000001</v>
      </c>
      <c r="AK118" t="s">
        <v>98</v>
      </c>
      <c r="AM118" t="s">
        <v>98</v>
      </c>
      <c r="AN118" t="s">
        <v>98</v>
      </c>
      <c r="AO118" t="s">
        <v>98</v>
      </c>
      <c r="AP118" t="s">
        <v>99</v>
      </c>
      <c r="AQ118" t="s">
        <v>102</v>
      </c>
      <c r="AV118" t="s">
        <v>98</v>
      </c>
      <c r="BF118" t="s">
        <v>483</v>
      </c>
      <c r="BG118" t="s">
        <v>98</v>
      </c>
      <c r="BH118" t="s">
        <v>98</v>
      </c>
      <c r="BI118" t="s">
        <v>98</v>
      </c>
      <c r="CL118" t="s">
        <v>98</v>
      </c>
      <c r="CM118" t="s">
        <v>98</v>
      </c>
      <c r="CP118" s="1">
        <v>43595</v>
      </c>
    </row>
    <row r="119" spans="1:94" x14ac:dyDescent="0.25">
      <c r="A119" s="4" t="s">
        <v>484</v>
      </c>
      <c r="B119" t="str">
        <f xml:space="preserve"> "" &amp; 706411020445</f>
        <v>706411020445</v>
      </c>
      <c r="C119" t="s">
        <v>481</v>
      </c>
      <c r="D119" t="s">
        <v>4454</v>
      </c>
      <c r="F119" t="s">
        <v>135</v>
      </c>
      <c r="G119">
        <v>1</v>
      </c>
      <c r="H119">
        <v>1</v>
      </c>
      <c r="I119" t="s">
        <v>97</v>
      </c>
      <c r="J119" s="32">
        <v>1.95</v>
      </c>
      <c r="K119" s="32">
        <v>5.85</v>
      </c>
      <c r="L119">
        <v>0</v>
      </c>
      <c r="N119">
        <v>0</v>
      </c>
      <c r="S119">
        <v>0.5</v>
      </c>
      <c r="T119">
        <v>2.5</v>
      </c>
      <c r="U119">
        <v>2.5</v>
      </c>
      <c r="W119">
        <v>5.5E-2</v>
      </c>
      <c r="X119">
        <v>1</v>
      </c>
      <c r="Y119">
        <v>6.12</v>
      </c>
      <c r="Z119">
        <v>6.5</v>
      </c>
      <c r="AA119">
        <v>6</v>
      </c>
      <c r="AB119">
        <v>0.14000000000000001</v>
      </c>
      <c r="AC119">
        <v>6.4000000000000001E-2</v>
      </c>
      <c r="AK119" t="s">
        <v>98</v>
      </c>
      <c r="AM119" t="s">
        <v>98</v>
      </c>
      <c r="AN119" t="s">
        <v>98</v>
      </c>
      <c r="AO119" t="s">
        <v>98</v>
      </c>
      <c r="AP119" t="s">
        <v>99</v>
      </c>
      <c r="AQ119" t="s">
        <v>102</v>
      </c>
      <c r="AV119" t="s">
        <v>98</v>
      </c>
      <c r="AX119" t="s">
        <v>136</v>
      </c>
      <c r="BC119" t="s">
        <v>485</v>
      </c>
      <c r="BF119" t="s">
        <v>486</v>
      </c>
      <c r="BG119" t="s">
        <v>98</v>
      </c>
      <c r="BH119" t="s">
        <v>98</v>
      </c>
      <c r="BI119" t="s">
        <v>98</v>
      </c>
      <c r="BK119" t="s">
        <v>138</v>
      </c>
      <c r="CA119" t="s">
        <v>480</v>
      </c>
      <c r="CB119" t="s">
        <v>136</v>
      </c>
      <c r="CL119" t="s">
        <v>98</v>
      </c>
      <c r="CM119" t="s">
        <v>98</v>
      </c>
      <c r="CN119" t="s">
        <v>349</v>
      </c>
      <c r="CO119" s="1">
        <v>40827</v>
      </c>
      <c r="CP119" s="1">
        <v>43595</v>
      </c>
    </row>
    <row r="120" spans="1:94" x14ac:dyDescent="0.25">
      <c r="A120" s="4" t="s">
        <v>487</v>
      </c>
      <c r="B120" t="str">
        <f xml:space="preserve"> "" &amp; 706411001000</f>
        <v>706411001000</v>
      </c>
      <c r="C120" t="s">
        <v>481</v>
      </c>
      <c r="D120" t="s">
        <v>488</v>
      </c>
      <c r="F120" t="s">
        <v>135</v>
      </c>
      <c r="G120">
        <v>1</v>
      </c>
      <c r="H120">
        <v>1</v>
      </c>
      <c r="I120" t="s">
        <v>97</v>
      </c>
      <c r="J120" s="32">
        <v>1.95</v>
      </c>
      <c r="K120" s="32">
        <v>5.85</v>
      </c>
      <c r="L120">
        <v>0</v>
      </c>
      <c r="N120">
        <v>0</v>
      </c>
      <c r="S120">
        <v>0.5</v>
      </c>
      <c r="T120">
        <v>2.5</v>
      </c>
      <c r="U120">
        <v>2.5</v>
      </c>
      <c r="W120">
        <v>5.5E-2</v>
      </c>
      <c r="X120">
        <v>1</v>
      </c>
      <c r="Y120">
        <v>6.12</v>
      </c>
      <c r="Z120">
        <v>6.5</v>
      </c>
      <c r="AA120">
        <v>6</v>
      </c>
      <c r="AB120">
        <v>0.14000000000000001</v>
      </c>
      <c r="AC120">
        <v>6.4000000000000001E-2</v>
      </c>
      <c r="AK120" t="s">
        <v>98</v>
      </c>
      <c r="AM120" t="s">
        <v>98</v>
      </c>
      <c r="AN120" t="s">
        <v>98</v>
      </c>
      <c r="AO120" t="s">
        <v>98</v>
      </c>
      <c r="AP120" t="s">
        <v>99</v>
      </c>
      <c r="AQ120" t="s">
        <v>102</v>
      </c>
      <c r="AV120" t="s">
        <v>98</v>
      </c>
      <c r="AX120" t="s">
        <v>163</v>
      </c>
      <c r="BC120" t="s">
        <v>485</v>
      </c>
      <c r="BF120" t="s">
        <v>489</v>
      </c>
      <c r="BG120" t="s">
        <v>98</v>
      </c>
      <c r="BH120" t="s">
        <v>98</v>
      </c>
      <c r="BI120" t="s">
        <v>98</v>
      </c>
      <c r="BK120" t="s">
        <v>138</v>
      </c>
      <c r="CA120" t="s">
        <v>480</v>
      </c>
      <c r="CB120" t="s">
        <v>163</v>
      </c>
      <c r="CL120" t="s">
        <v>98</v>
      </c>
      <c r="CM120" t="s">
        <v>98</v>
      </c>
      <c r="CN120" t="s">
        <v>349</v>
      </c>
      <c r="CO120" s="1">
        <v>40827</v>
      </c>
      <c r="CP120" s="1">
        <v>43595</v>
      </c>
    </row>
    <row r="121" spans="1:94" x14ac:dyDescent="0.25">
      <c r="A121" s="4" t="s">
        <v>490</v>
      </c>
      <c r="B121" t="str">
        <f xml:space="preserve"> "" &amp; 706411045738</f>
        <v>706411045738</v>
      </c>
      <c r="C121" t="s">
        <v>481</v>
      </c>
      <c r="D121" t="s">
        <v>491</v>
      </c>
      <c r="F121" t="s">
        <v>135</v>
      </c>
      <c r="G121">
        <v>1</v>
      </c>
      <c r="H121">
        <v>1</v>
      </c>
      <c r="I121" t="s">
        <v>97</v>
      </c>
      <c r="J121" s="32">
        <v>1.95</v>
      </c>
      <c r="K121" s="32">
        <v>5.85</v>
      </c>
      <c r="L121">
        <v>0</v>
      </c>
      <c r="N121">
        <v>0</v>
      </c>
      <c r="S121">
        <v>0.5</v>
      </c>
      <c r="T121">
        <v>2.5</v>
      </c>
      <c r="U121">
        <v>2.5</v>
      </c>
      <c r="W121">
        <v>5.5E-2</v>
      </c>
      <c r="X121">
        <v>1</v>
      </c>
      <c r="AB121">
        <v>2.8E-3</v>
      </c>
      <c r="AC121">
        <v>6.4000000000000001E-2</v>
      </c>
      <c r="AK121" t="s">
        <v>98</v>
      </c>
      <c r="AM121" t="s">
        <v>98</v>
      </c>
      <c r="AN121" t="s">
        <v>98</v>
      </c>
      <c r="AO121" t="s">
        <v>98</v>
      </c>
      <c r="AP121" t="s">
        <v>99</v>
      </c>
      <c r="AQ121" t="s">
        <v>102</v>
      </c>
      <c r="AV121" t="s">
        <v>98</v>
      </c>
      <c r="AX121" t="s">
        <v>167</v>
      </c>
      <c r="BF121" t="s">
        <v>492</v>
      </c>
      <c r="BG121" t="s">
        <v>98</v>
      </c>
      <c r="BH121" t="s">
        <v>98</v>
      </c>
      <c r="BI121" t="s">
        <v>98</v>
      </c>
      <c r="CB121" t="s">
        <v>167</v>
      </c>
      <c r="CL121" t="s">
        <v>98</v>
      </c>
      <c r="CM121" t="s">
        <v>98</v>
      </c>
      <c r="CP121" s="1">
        <v>43595</v>
      </c>
    </row>
    <row r="122" spans="1:94" x14ac:dyDescent="0.25">
      <c r="A122" s="4" t="s">
        <v>493</v>
      </c>
      <c r="B122" t="str">
        <f xml:space="preserve"> "" &amp; 706411031229</f>
        <v>706411031229</v>
      </c>
      <c r="C122" t="s">
        <v>481</v>
      </c>
      <c r="D122" t="s">
        <v>4455</v>
      </c>
      <c r="F122" t="s">
        <v>135</v>
      </c>
      <c r="G122">
        <v>1</v>
      </c>
      <c r="H122">
        <v>1</v>
      </c>
      <c r="I122" t="s">
        <v>97</v>
      </c>
      <c r="J122" s="32">
        <v>2.5</v>
      </c>
      <c r="K122" s="32">
        <v>7.5</v>
      </c>
      <c r="L122">
        <v>0</v>
      </c>
      <c r="N122">
        <v>0</v>
      </c>
      <c r="S122">
        <v>0.5</v>
      </c>
      <c r="T122">
        <v>2.5</v>
      </c>
      <c r="U122">
        <v>2.5</v>
      </c>
      <c r="W122">
        <v>5.5E-2</v>
      </c>
      <c r="X122">
        <v>1</v>
      </c>
      <c r="Y122">
        <v>6.13</v>
      </c>
      <c r="Z122">
        <v>6.5</v>
      </c>
      <c r="AA122">
        <v>6</v>
      </c>
      <c r="AB122">
        <v>0.13</v>
      </c>
      <c r="AC122">
        <v>6.4000000000000001E-2</v>
      </c>
      <c r="AK122" t="s">
        <v>98</v>
      </c>
      <c r="AM122" t="s">
        <v>98</v>
      </c>
      <c r="AN122" t="s">
        <v>98</v>
      </c>
      <c r="AO122" t="s">
        <v>98</v>
      </c>
      <c r="AP122" t="s">
        <v>99</v>
      </c>
      <c r="AQ122" t="s">
        <v>102</v>
      </c>
      <c r="AV122" t="s">
        <v>98</v>
      </c>
      <c r="AX122" t="s">
        <v>186</v>
      </c>
      <c r="BC122" t="s">
        <v>485</v>
      </c>
      <c r="BF122" t="s">
        <v>494</v>
      </c>
      <c r="BG122" t="s">
        <v>98</v>
      </c>
      <c r="BH122" t="s">
        <v>98</v>
      </c>
      <c r="BI122" t="s">
        <v>98</v>
      </c>
      <c r="BK122" t="s">
        <v>138</v>
      </c>
      <c r="CA122" t="s">
        <v>480</v>
      </c>
      <c r="CB122" t="s">
        <v>186</v>
      </c>
      <c r="CL122" t="s">
        <v>98</v>
      </c>
      <c r="CM122" t="s">
        <v>98</v>
      </c>
      <c r="CN122" t="s">
        <v>349</v>
      </c>
      <c r="CO122" s="1">
        <v>40876</v>
      </c>
      <c r="CP122" s="1">
        <v>43595</v>
      </c>
    </row>
    <row r="123" spans="1:94" x14ac:dyDescent="0.25">
      <c r="A123" s="4" t="s">
        <v>495</v>
      </c>
      <c r="B123" t="str">
        <f xml:space="preserve"> "" &amp; 706411039638</f>
        <v>706411039638</v>
      </c>
      <c r="C123" t="s">
        <v>481</v>
      </c>
      <c r="D123" t="s">
        <v>496</v>
      </c>
      <c r="F123" t="s">
        <v>135</v>
      </c>
      <c r="G123">
        <v>1</v>
      </c>
      <c r="H123">
        <v>1</v>
      </c>
      <c r="I123" t="s">
        <v>97</v>
      </c>
      <c r="J123" s="32">
        <v>2.5</v>
      </c>
      <c r="K123" s="32">
        <v>7.5</v>
      </c>
      <c r="L123">
        <v>0</v>
      </c>
      <c r="N123">
        <v>0</v>
      </c>
      <c r="S123">
        <v>0.5</v>
      </c>
      <c r="T123">
        <v>2.5</v>
      </c>
      <c r="U123">
        <v>2.5</v>
      </c>
      <c r="W123">
        <v>5.5E-2</v>
      </c>
      <c r="X123">
        <v>1</v>
      </c>
      <c r="Y123">
        <v>6.12</v>
      </c>
      <c r="Z123">
        <v>6.5</v>
      </c>
      <c r="AA123">
        <v>6</v>
      </c>
      <c r="AB123">
        <v>0.14000000000000001</v>
      </c>
      <c r="AC123">
        <v>6.4000000000000001E-2</v>
      </c>
      <c r="AK123" t="s">
        <v>98</v>
      </c>
      <c r="AM123" t="s">
        <v>98</v>
      </c>
      <c r="AN123" t="s">
        <v>98</v>
      </c>
      <c r="AO123" t="s">
        <v>98</v>
      </c>
      <c r="AP123" t="s">
        <v>99</v>
      </c>
      <c r="AQ123" t="s">
        <v>102</v>
      </c>
      <c r="AV123" t="s">
        <v>98</v>
      </c>
      <c r="AX123" t="s">
        <v>190</v>
      </c>
      <c r="BC123" t="s">
        <v>485</v>
      </c>
      <c r="BF123" t="s">
        <v>497</v>
      </c>
      <c r="BG123" t="s">
        <v>98</v>
      </c>
      <c r="BH123" t="s">
        <v>98</v>
      </c>
      <c r="BI123" t="s">
        <v>98</v>
      </c>
      <c r="BK123" t="s">
        <v>138</v>
      </c>
      <c r="CA123" t="s">
        <v>480</v>
      </c>
      <c r="CB123" t="s">
        <v>190</v>
      </c>
      <c r="CL123" t="s">
        <v>98</v>
      </c>
      <c r="CM123" t="s">
        <v>98</v>
      </c>
      <c r="CN123" t="s">
        <v>349</v>
      </c>
      <c r="CO123" s="1">
        <v>40876</v>
      </c>
      <c r="CP123" s="1">
        <v>43595</v>
      </c>
    </row>
    <row r="124" spans="1:94" x14ac:dyDescent="0.25">
      <c r="A124" s="4" t="s">
        <v>498</v>
      </c>
      <c r="B124" t="str">
        <f xml:space="preserve"> "" &amp; 706411038488</f>
        <v>706411038488</v>
      </c>
      <c r="C124" t="s">
        <v>481</v>
      </c>
      <c r="D124" t="s">
        <v>499</v>
      </c>
      <c r="F124" t="s">
        <v>135</v>
      </c>
      <c r="G124">
        <v>1</v>
      </c>
      <c r="H124">
        <v>1</v>
      </c>
      <c r="I124" t="s">
        <v>97</v>
      </c>
      <c r="J124" s="32">
        <v>2.5</v>
      </c>
      <c r="K124" s="32">
        <v>7.5</v>
      </c>
      <c r="L124">
        <v>0</v>
      </c>
      <c r="N124">
        <v>0</v>
      </c>
      <c r="S124">
        <v>0.5</v>
      </c>
      <c r="T124">
        <v>2.5</v>
      </c>
      <c r="U124">
        <v>2.5</v>
      </c>
      <c r="W124">
        <v>0.11</v>
      </c>
      <c r="X124">
        <v>1</v>
      </c>
      <c r="Y124">
        <v>6.13</v>
      </c>
      <c r="Z124">
        <v>6.5</v>
      </c>
      <c r="AA124">
        <v>6</v>
      </c>
      <c r="AB124">
        <v>0.13</v>
      </c>
      <c r="AC124">
        <v>0.13900000000000001</v>
      </c>
      <c r="AK124" t="s">
        <v>98</v>
      </c>
      <c r="AM124" t="s">
        <v>98</v>
      </c>
      <c r="AN124" t="s">
        <v>98</v>
      </c>
      <c r="AO124" t="s">
        <v>98</v>
      </c>
      <c r="AP124" t="s">
        <v>99</v>
      </c>
      <c r="AQ124" t="s">
        <v>102</v>
      </c>
      <c r="AV124" t="s">
        <v>98</v>
      </c>
      <c r="BC124" t="s">
        <v>485</v>
      </c>
      <c r="BF124" t="s">
        <v>500</v>
      </c>
      <c r="BG124" t="s">
        <v>98</v>
      </c>
      <c r="BH124" t="s">
        <v>98</v>
      </c>
      <c r="BI124" t="s">
        <v>98</v>
      </c>
      <c r="BK124" t="s">
        <v>138</v>
      </c>
      <c r="CA124" t="s">
        <v>480</v>
      </c>
      <c r="CL124" t="s">
        <v>98</v>
      </c>
      <c r="CM124" t="s">
        <v>98</v>
      </c>
      <c r="CN124" t="s">
        <v>349</v>
      </c>
      <c r="CO124" s="1">
        <v>40876</v>
      </c>
      <c r="CP124" s="1">
        <v>43595</v>
      </c>
    </row>
    <row r="125" spans="1:94" x14ac:dyDescent="0.25">
      <c r="A125" s="4" t="s">
        <v>501</v>
      </c>
      <c r="B125" t="str">
        <f xml:space="preserve"> "" &amp; 706411039621</f>
        <v>706411039621</v>
      </c>
      <c r="C125" t="s">
        <v>481</v>
      </c>
      <c r="D125" t="s">
        <v>502</v>
      </c>
      <c r="F125" t="s">
        <v>135</v>
      </c>
      <c r="G125">
        <v>1</v>
      </c>
      <c r="H125">
        <v>1</v>
      </c>
      <c r="I125" t="s">
        <v>97</v>
      </c>
      <c r="J125" s="32">
        <v>2.5</v>
      </c>
      <c r="K125" s="32">
        <v>7.5</v>
      </c>
      <c r="L125">
        <v>0</v>
      </c>
      <c r="N125">
        <v>0</v>
      </c>
      <c r="S125">
        <v>0.5</v>
      </c>
      <c r="T125">
        <v>2.5</v>
      </c>
      <c r="U125">
        <v>2.5</v>
      </c>
      <c r="W125">
        <v>5.5E-2</v>
      </c>
      <c r="X125">
        <v>1</v>
      </c>
      <c r="Y125">
        <v>6.13</v>
      </c>
      <c r="Z125">
        <v>6.5</v>
      </c>
      <c r="AA125">
        <v>6</v>
      </c>
      <c r="AB125">
        <v>0.13</v>
      </c>
      <c r="AC125">
        <v>6.4000000000000001E-2</v>
      </c>
      <c r="AK125" t="s">
        <v>98</v>
      </c>
      <c r="AM125" t="s">
        <v>98</v>
      </c>
      <c r="AN125" t="s">
        <v>98</v>
      </c>
      <c r="AO125" t="s">
        <v>98</v>
      </c>
      <c r="AP125" t="s">
        <v>99</v>
      </c>
      <c r="AQ125" t="s">
        <v>102</v>
      </c>
      <c r="AV125" t="s">
        <v>98</v>
      </c>
      <c r="AX125" t="s">
        <v>201</v>
      </c>
      <c r="BC125" t="s">
        <v>485</v>
      </c>
      <c r="BF125" t="s">
        <v>503</v>
      </c>
      <c r="BG125" t="s">
        <v>98</v>
      </c>
      <c r="BH125" t="s">
        <v>98</v>
      </c>
      <c r="BI125" t="s">
        <v>98</v>
      </c>
      <c r="BK125" t="s">
        <v>138</v>
      </c>
      <c r="CA125" t="s">
        <v>480</v>
      </c>
      <c r="CB125" t="s">
        <v>201</v>
      </c>
      <c r="CL125" t="s">
        <v>98</v>
      </c>
      <c r="CM125" t="s">
        <v>98</v>
      </c>
      <c r="CN125" t="s">
        <v>349</v>
      </c>
      <c r="CO125" s="1">
        <v>40876</v>
      </c>
      <c r="CP125" s="1">
        <v>43595</v>
      </c>
    </row>
    <row r="126" spans="1:94" x14ac:dyDescent="0.25">
      <c r="A126" s="4" t="s">
        <v>504</v>
      </c>
      <c r="B126" t="str">
        <f xml:space="preserve"> "" &amp; 706411774218</f>
        <v>706411774218</v>
      </c>
      <c r="C126" t="s">
        <v>481</v>
      </c>
      <c r="D126" t="s">
        <v>505</v>
      </c>
      <c r="F126" t="s">
        <v>135</v>
      </c>
      <c r="G126">
        <v>1</v>
      </c>
      <c r="H126">
        <v>1</v>
      </c>
      <c r="I126" t="s">
        <v>97</v>
      </c>
      <c r="J126" s="32">
        <v>2.5</v>
      </c>
      <c r="K126" s="32">
        <v>7.5</v>
      </c>
      <c r="L126">
        <v>0</v>
      </c>
      <c r="N126">
        <v>0</v>
      </c>
      <c r="S126">
        <v>0.5</v>
      </c>
      <c r="T126">
        <v>2.5</v>
      </c>
      <c r="U126">
        <v>2.5</v>
      </c>
      <c r="W126">
        <v>5.5E-2</v>
      </c>
      <c r="X126">
        <v>1</v>
      </c>
      <c r="AB126">
        <v>2.8E-3</v>
      </c>
      <c r="AC126">
        <v>6.4000000000000001E-2</v>
      </c>
      <c r="AK126" t="s">
        <v>98</v>
      </c>
      <c r="AM126" t="s">
        <v>98</v>
      </c>
      <c r="AN126" t="s">
        <v>98</v>
      </c>
      <c r="AO126" t="s">
        <v>98</v>
      </c>
      <c r="AP126" t="s">
        <v>99</v>
      </c>
      <c r="AQ126" t="s">
        <v>102</v>
      </c>
      <c r="AV126" t="s">
        <v>98</v>
      </c>
      <c r="AX126" t="s">
        <v>219</v>
      </c>
      <c r="BF126" t="s">
        <v>506</v>
      </c>
      <c r="BG126" t="s">
        <v>98</v>
      </c>
      <c r="BH126" t="s">
        <v>98</v>
      </c>
      <c r="BI126" t="s">
        <v>98</v>
      </c>
      <c r="CB126" t="s">
        <v>219</v>
      </c>
      <c r="CL126" t="s">
        <v>98</v>
      </c>
      <c r="CM126" t="s">
        <v>98</v>
      </c>
      <c r="CP126" s="1">
        <v>43595</v>
      </c>
    </row>
    <row r="127" spans="1:94" x14ac:dyDescent="0.25">
      <c r="A127" s="4" t="s">
        <v>507</v>
      </c>
      <c r="B127" t="str">
        <f xml:space="preserve"> "" &amp; 706411039614</f>
        <v>706411039614</v>
      </c>
      <c r="C127" t="s">
        <v>481</v>
      </c>
      <c r="D127" t="s">
        <v>508</v>
      </c>
      <c r="F127" t="s">
        <v>135</v>
      </c>
      <c r="G127">
        <v>1</v>
      </c>
      <c r="H127">
        <v>1</v>
      </c>
      <c r="I127" t="s">
        <v>97</v>
      </c>
      <c r="J127" s="32">
        <v>2.5</v>
      </c>
      <c r="K127" s="32">
        <v>7.5</v>
      </c>
      <c r="L127">
        <v>0</v>
      </c>
      <c r="N127">
        <v>0</v>
      </c>
      <c r="S127">
        <v>0.5</v>
      </c>
      <c r="T127">
        <v>2.5</v>
      </c>
      <c r="U127">
        <v>2.5</v>
      </c>
      <c r="W127">
        <v>5.5E-2</v>
      </c>
      <c r="X127">
        <v>1</v>
      </c>
      <c r="Y127">
        <v>6.13</v>
      </c>
      <c r="Z127">
        <v>6.5</v>
      </c>
      <c r="AA127">
        <v>6</v>
      </c>
      <c r="AB127">
        <v>0.14000000000000001</v>
      </c>
      <c r="AC127">
        <v>6.4000000000000001E-2</v>
      </c>
      <c r="AK127" t="s">
        <v>98</v>
      </c>
      <c r="AM127" t="s">
        <v>98</v>
      </c>
      <c r="AN127" t="s">
        <v>98</v>
      </c>
      <c r="AO127" t="s">
        <v>98</v>
      </c>
      <c r="AP127" t="s">
        <v>99</v>
      </c>
      <c r="AQ127" t="s">
        <v>102</v>
      </c>
      <c r="AV127" t="s">
        <v>98</v>
      </c>
      <c r="AX127" t="s">
        <v>227</v>
      </c>
      <c r="BC127" t="s">
        <v>485</v>
      </c>
      <c r="BF127" t="s">
        <v>509</v>
      </c>
      <c r="BG127" t="s">
        <v>98</v>
      </c>
      <c r="BH127" t="s">
        <v>98</v>
      </c>
      <c r="BI127" t="s">
        <v>98</v>
      </c>
      <c r="BK127" t="s">
        <v>138</v>
      </c>
      <c r="CA127" t="s">
        <v>480</v>
      </c>
      <c r="CB127" t="s">
        <v>227</v>
      </c>
      <c r="CL127" t="s">
        <v>98</v>
      </c>
      <c r="CM127" t="s">
        <v>98</v>
      </c>
      <c r="CN127" t="s">
        <v>349</v>
      </c>
      <c r="CO127" s="1">
        <v>40876</v>
      </c>
      <c r="CP127" s="1">
        <v>43595</v>
      </c>
    </row>
    <row r="128" spans="1:94" x14ac:dyDescent="0.25">
      <c r="A128" s="4" t="s">
        <v>510</v>
      </c>
      <c r="B128" t="str">
        <f xml:space="preserve"> "" &amp; 706411009570</f>
        <v>706411009570</v>
      </c>
      <c r="C128" t="s">
        <v>481</v>
      </c>
      <c r="D128" t="s">
        <v>511</v>
      </c>
      <c r="F128" t="s">
        <v>135</v>
      </c>
      <c r="G128">
        <v>1</v>
      </c>
      <c r="H128">
        <v>1</v>
      </c>
      <c r="I128" t="s">
        <v>97</v>
      </c>
      <c r="J128" s="32">
        <v>2.5</v>
      </c>
      <c r="K128" s="32">
        <v>7.5</v>
      </c>
      <c r="L128">
        <v>0</v>
      </c>
      <c r="N128">
        <v>0</v>
      </c>
      <c r="S128">
        <v>0.5</v>
      </c>
      <c r="T128">
        <v>2.5</v>
      </c>
      <c r="U128">
        <v>2.5</v>
      </c>
      <c r="W128">
        <v>5.5E-2</v>
      </c>
      <c r="X128">
        <v>1</v>
      </c>
      <c r="Y128">
        <v>6.12</v>
      </c>
      <c r="Z128">
        <v>6.5</v>
      </c>
      <c r="AA128">
        <v>6</v>
      </c>
      <c r="AB128">
        <v>0.14000000000000001</v>
      </c>
      <c r="AC128">
        <v>6.4000000000000001E-2</v>
      </c>
      <c r="AK128" t="s">
        <v>98</v>
      </c>
      <c r="AM128" t="s">
        <v>98</v>
      </c>
      <c r="AN128" t="s">
        <v>98</v>
      </c>
      <c r="AO128" t="s">
        <v>98</v>
      </c>
      <c r="AP128" t="s">
        <v>99</v>
      </c>
      <c r="AQ128" t="s">
        <v>102</v>
      </c>
      <c r="AV128" t="s">
        <v>98</v>
      </c>
      <c r="AX128" t="s">
        <v>245</v>
      </c>
      <c r="BC128" t="s">
        <v>485</v>
      </c>
      <c r="BF128" t="s">
        <v>512</v>
      </c>
      <c r="BG128" t="s">
        <v>98</v>
      </c>
      <c r="BH128" t="s">
        <v>98</v>
      </c>
      <c r="BI128" t="s">
        <v>98</v>
      </c>
      <c r="BK128" t="s">
        <v>138</v>
      </c>
      <c r="CA128" t="s">
        <v>480</v>
      </c>
      <c r="CB128" t="s">
        <v>245</v>
      </c>
      <c r="CL128" t="s">
        <v>98</v>
      </c>
      <c r="CM128" t="s">
        <v>98</v>
      </c>
      <c r="CN128" t="s">
        <v>349</v>
      </c>
      <c r="CO128" s="1">
        <v>40827</v>
      </c>
      <c r="CP128" s="1">
        <v>43595</v>
      </c>
    </row>
    <row r="129" spans="1:94" x14ac:dyDescent="0.25">
      <c r="A129" s="4" t="s">
        <v>513</v>
      </c>
      <c r="B129" t="str">
        <f xml:space="preserve"> "" &amp; 706411039669</f>
        <v>706411039669</v>
      </c>
      <c r="C129" t="s">
        <v>481</v>
      </c>
      <c r="D129" t="s">
        <v>514</v>
      </c>
      <c r="F129" t="s">
        <v>135</v>
      </c>
      <c r="G129">
        <v>1</v>
      </c>
      <c r="H129">
        <v>1</v>
      </c>
      <c r="I129" t="s">
        <v>97</v>
      </c>
      <c r="J129" s="32">
        <v>2.5</v>
      </c>
      <c r="K129" s="32">
        <v>7.5</v>
      </c>
      <c r="L129">
        <v>0</v>
      </c>
      <c r="N129">
        <v>0</v>
      </c>
      <c r="S129">
        <v>0.5</v>
      </c>
      <c r="T129">
        <v>2.5</v>
      </c>
      <c r="U129">
        <v>2.5</v>
      </c>
      <c r="W129">
        <v>5.5E-2</v>
      </c>
      <c r="X129">
        <v>1</v>
      </c>
      <c r="Y129">
        <v>6.13</v>
      </c>
      <c r="Z129">
        <v>6.5</v>
      </c>
      <c r="AA129">
        <v>6</v>
      </c>
      <c r="AB129">
        <v>0.14000000000000001</v>
      </c>
      <c r="AC129">
        <v>6.4000000000000001E-2</v>
      </c>
      <c r="AK129" t="s">
        <v>98</v>
      </c>
      <c r="AM129" t="s">
        <v>98</v>
      </c>
      <c r="AN129" t="s">
        <v>98</v>
      </c>
      <c r="AO129" t="s">
        <v>98</v>
      </c>
      <c r="AP129" t="s">
        <v>99</v>
      </c>
      <c r="AQ129" t="s">
        <v>102</v>
      </c>
      <c r="AV129" t="s">
        <v>98</v>
      </c>
      <c r="AX129" t="s">
        <v>249</v>
      </c>
      <c r="BC129" t="s">
        <v>485</v>
      </c>
      <c r="BF129" t="s">
        <v>515</v>
      </c>
      <c r="BG129" t="s">
        <v>98</v>
      </c>
      <c r="BH129" t="s">
        <v>98</v>
      </c>
      <c r="BI129" t="s">
        <v>98</v>
      </c>
      <c r="BK129" t="s">
        <v>138</v>
      </c>
      <c r="CA129" t="s">
        <v>480</v>
      </c>
      <c r="CB129" t="s">
        <v>249</v>
      </c>
      <c r="CL129" t="s">
        <v>98</v>
      </c>
      <c r="CM129" t="s">
        <v>98</v>
      </c>
      <c r="CN129" t="s">
        <v>349</v>
      </c>
      <c r="CO129" s="1">
        <v>40877</v>
      </c>
      <c r="CP129" s="1">
        <v>43595</v>
      </c>
    </row>
    <row r="130" spans="1:94" x14ac:dyDescent="0.25">
      <c r="A130" s="4" t="s">
        <v>516</v>
      </c>
      <c r="B130" t="str">
        <f xml:space="preserve"> "" &amp; 706411039607</f>
        <v>706411039607</v>
      </c>
      <c r="C130" t="s">
        <v>481</v>
      </c>
      <c r="D130" t="s">
        <v>517</v>
      </c>
      <c r="F130" t="s">
        <v>135</v>
      </c>
      <c r="G130">
        <v>1</v>
      </c>
      <c r="H130">
        <v>1</v>
      </c>
      <c r="I130" t="s">
        <v>97</v>
      </c>
      <c r="J130" s="32">
        <v>2.5</v>
      </c>
      <c r="K130" s="32">
        <v>7.5</v>
      </c>
      <c r="L130">
        <v>0</v>
      </c>
      <c r="N130">
        <v>0</v>
      </c>
      <c r="S130">
        <v>0.5</v>
      </c>
      <c r="T130">
        <v>2.5</v>
      </c>
      <c r="U130">
        <v>2.5</v>
      </c>
      <c r="W130">
        <v>5.5E-2</v>
      </c>
      <c r="X130">
        <v>1</v>
      </c>
      <c r="Y130">
        <v>6.13</v>
      </c>
      <c r="Z130">
        <v>6.5</v>
      </c>
      <c r="AA130">
        <v>6</v>
      </c>
      <c r="AB130">
        <v>0.14000000000000001</v>
      </c>
      <c r="AC130">
        <v>6.4000000000000001E-2</v>
      </c>
      <c r="AK130" t="s">
        <v>98</v>
      </c>
      <c r="AM130" t="s">
        <v>98</v>
      </c>
      <c r="AN130" t="s">
        <v>98</v>
      </c>
      <c r="AO130" t="s">
        <v>98</v>
      </c>
      <c r="AP130" t="s">
        <v>99</v>
      </c>
      <c r="AQ130" t="s">
        <v>102</v>
      </c>
      <c r="AV130" t="s">
        <v>98</v>
      </c>
      <c r="AX130" t="s">
        <v>253</v>
      </c>
      <c r="BC130" t="s">
        <v>485</v>
      </c>
      <c r="BF130" t="s">
        <v>518</v>
      </c>
      <c r="BG130" t="s">
        <v>98</v>
      </c>
      <c r="BH130" t="s">
        <v>98</v>
      </c>
      <c r="BI130" t="s">
        <v>98</v>
      </c>
      <c r="BK130" t="s">
        <v>138</v>
      </c>
      <c r="CA130" t="s">
        <v>480</v>
      </c>
      <c r="CB130" t="s">
        <v>253</v>
      </c>
      <c r="CL130" t="s">
        <v>98</v>
      </c>
      <c r="CM130" t="s">
        <v>98</v>
      </c>
      <c r="CN130" t="s">
        <v>349</v>
      </c>
      <c r="CO130" s="1">
        <v>40877</v>
      </c>
      <c r="CP130" s="1">
        <v>43595</v>
      </c>
    </row>
    <row r="131" spans="1:94" x14ac:dyDescent="0.25">
      <c r="A131" s="4" t="s">
        <v>519</v>
      </c>
      <c r="B131" t="str">
        <f xml:space="preserve"> "" &amp; 706411039652</f>
        <v>706411039652</v>
      </c>
      <c r="C131" t="s">
        <v>481</v>
      </c>
      <c r="D131" t="s">
        <v>520</v>
      </c>
      <c r="F131" t="s">
        <v>135</v>
      </c>
      <c r="G131">
        <v>1</v>
      </c>
      <c r="H131">
        <v>1</v>
      </c>
      <c r="I131" t="s">
        <v>97</v>
      </c>
      <c r="J131" s="32">
        <v>1.95</v>
      </c>
      <c r="K131" s="32">
        <v>5.85</v>
      </c>
      <c r="L131">
        <v>0</v>
      </c>
      <c r="N131">
        <v>0</v>
      </c>
      <c r="S131">
        <v>0.5</v>
      </c>
      <c r="T131">
        <v>2.5</v>
      </c>
      <c r="U131">
        <v>2.5</v>
      </c>
      <c r="W131">
        <v>5.5E-2</v>
      </c>
      <c r="X131">
        <v>1</v>
      </c>
      <c r="Y131">
        <v>6.13</v>
      </c>
      <c r="Z131">
        <v>6.5</v>
      </c>
      <c r="AA131">
        <v>6</v>
      </c>
      <c r="AB131">
        <v>0.14000000000000001</v>
      </c>
      <c r="AC131">
        <v>6.4000000000000001E-2</v>
      </c>
      <c r="AK131" t="s">
        <v>98</v>
      </c>
      <c r="AM131" t="s">
        <v>98</v>
      </c>
      <c r="AN131" t="s">
        <v>98</v>
      </c>
      <c r="AO131" t="s">
        <v>98</v>
      </c>
      <c r="AP131" t="s">
        <v>99</v>
      </c>
      <c r="AQ131" t="s">
        <v>102</v>
      </c>
      <c r="AV131" t="s">
        <v>98</v>
      </c>
      <c r="AX131" t="s">
        <v>261</v>
      </c>
      <c r="BC131" t="s">
        <v>485</v>
      </c>
      <c r="BF131" t="s">
        <v>521</v>
      </c>
      <c r="BG131" t="s">
        <v>98</v>
      </c>
      <c r="BH131" t="s">
        <v>98</v>
      </c>
      <c r="BI131" t="s">
        <v>98</v>
      </c>
      <c r="BK131" t="s">
        <v>138</v>
      </c>
      <c r="CA131" t="s">
        <v>480</v>
      </c>
      <c r="CB131" t="s">
        <v>261</v>
      </c>
      <c r="CL131" t="s">
        <v>98</v>
      </c>
      <c r="CM131" t="s">
        <v>98</v>
      </c>
      <c r="CN131" t="s">
        <v>349</v>
      </c>
      <c r="CO131" s="1">
        <v>40878</v>
      </c>
      <c r="CP131" s="1">
        <v>43595</v>
      </c>
    </row>
    <row r="132" spans="1:94" x14ac:dyDescent="0.25">
      <c r="A132" s="4" t="s">
        <v>522</v>
      </c>
      <c r="B132" t="str">
        <f xml:space="preserve"> "" &amp; 706411029080</f>
        <v>706411029080</v>
      </c>
      <c r="C132" t="s">
        <v>481</v>
      </c>
      <c r="D132" t="s">
        <v>523</v>
      </c>
      <c r="F132" t="s">
        <v>135</v>
      </c>
      <c r="G132">
        <v>1</v>
      </c>
      <c r="H132">
        <v>1</v>
      </c>
      <c r="I132" t="s">
        <v>97</v>
      </c>
      <c r="J132" s="32">
        <v>1.95</v>
      </c>
      <c r="K132" s="32">
        <v>5.85</v>
      </c>
      <c r="L132">
        <v>0</v>
      </c>
      <c r="N132">
        <v>0</v>
      </c>
      <c r="S132">
        <v>0.5</v>
      </c>
      <c r="T132">
        <v>2.5</v>
      </c>
      <c r="U132">
        <v>2.5</v>
      </c>
      <c r="W132">
        <v>5.5E-2</v>
      </c>
      <c r="X132">
        <v>1</v>
      </c>
      <c r="Y132">
        <v>6.13</v>
      </c>
      <c r="Z132">
        <v>6.5</v>
      </c>
      <c r="AA132">
        <v>6</v>
      </c>
      <c r="AB132">
        <v>0.14000000000000001</v>
      </c>
      <c r="AC132">
        <v>6.4000000000000001E-2</v>
      </c>
      <c r="AK132" t="s">
        <v>98</v>
      </c>
      <c r="AM132" t="s">
        <v>98</v>
      </c>
      <c r="AN132" t="s">
        <v>98</v>
      </c>
      <c r="AO132" t="s">
        <v>98</v>
      </c>
      <c r="AP132" t="s">
        <v>99</v>
      </c>
      <c r="AQ132" t="s">
        <v>102</v>
      </c>
      <c r="AV132" t="s">
        <v>98</v>
      </c>
      <c r="AX132" t="s">
        <v>245</v>
      </c>
      <c r="BC132" t="s">
        <v>485</v>
      </c>
      <c r="BF132" t="s">
        <v>524</v>
      </c>
      <c r="BG132" t="s">
        <v>98</v>
      </c>
      <c r="BH132" t="s">
        <v>98</v>
      </c>
      <c r="BI132" t="s">
        <v>98</v>
      </c>
      <c r="BK132" t="s">
        <v>138</v>
      </c>
      <c r="CA132" t="s">
        <v>480</v>
      </c>
      <c r="CB132" t="s">
        <v>245</v>
      </c>
      <c r="CL132" t="s">
        <v>98</v>
      </c>
      <c r="CM132" t="s">
        <v>98</v>
      </c>
      <c r="CN132" t="s">
        <v>349</v>
      </c>
      <c r="CO132" s="1">
        <v>40904</v>
      </c>
      <c r="CP132" s="1">
        <v>43595</v>
      </c>
    </row>
    <row r="133" spans="1:94" x14ac:dyDescent="0.25">
      <c r="A133" s="4" t="s">
        <v>525</v>
      </c>
      <c r="B133" t="str">
        <f xml:space="preserve"> "" &amp; 706411001062</f>
        <v>706411001062</v>
      </c>
      <c r="C133" t="s">
        <v>481</v>
      </c>
      <c r="D133" t="s">
        <v>526</v>
      </c>
      <c r="F133" t="s">
        <v>135</v>
      </c>
      <c r="G133">
        <v>1</v>
      </c>
      <c r="H133">
        <v>1</v>
      </c>
      <c r="I133" t="s">
        <v>97</v>
      </c>
      <c r="J133" s="32">
        <v>1.95</v>
      </c>
      <c r="K133" s="32">
        <v>5.85</v>
      </c>
      <c r="L133">
        <v>0</v>
      </c>
      <c r="N133">
        <v>0</v>
      </c>
      <c r="S133">
        <v>0.5</v>
      </c>
      <c r="T133">
        <v>2.5</v>
      </c>
      <c r="U133">
        <v>2.5</v>
      </c>
      <c r="W133">
        <v>5.5E-2</v>
      </c>
      <c r="X133">
        <v>1</v>
      </c>
      <c r="Y133">
        <v>6.12</v>
      </c>
      <c r="Z133">
        <v>6.5</v>
      </c>
      <c r="AA133">
        <v>6</v>
      </c>
      <c r="AB133">
        <v>0.14000000000000001</v>
      </c>
      <c r="AC133">
        <v>6.4000000000000001E-2</v>
      </c>
      <c r="AK133" t="s">
        <v>98</v>
      </c>
      <c r="AM133" t="s">
        <v>98</v>
      </c>
      <c r="AN133" t="s">
        <v>98</v>
      </c>
      <c r="AO133" t="s">
        <v>98</v>
      </c>
      <c r="AP133" t="s">
        <v>99</v>
      </c>
      <c r="AQ133" t="s">
        <v>102</v>
      </c>
      <c r="AV133" t="s">
        <v>98</v>
      </c>
      <c r="AX133" t="s">
        <v>277</v>
      </c>
      <c r="BC133" t="s">
        <v>485</v>
      </c>
      <c r="BF133" t="s">
        <v>527</v>
      </c>
      <c r="BG133" t="s">
        <v>98</v>
      </c>
      <c r="BH133" t="s">
        <v>98</v>
      </c>
      <c r="BI133" t="s">
        <v>98</v>
      </c>
      <c r="BK133" t="s">
        <v>138</v>
      </c>
      <c r="CA133" t="s">
        <v>480</v>
      </c>
      <c r="CB133" t="s">
        <v>277</v>
      </c>
      <c r="CL133" t="s">
        <v>98</v>
      </c>
      <c r="CM133" t="s">
        <v>98</v>
      </c>
      <c r="CN133" t="s">
        <v>349</v>
      </c>
      <c r="CO133" s="1">
        <v>40827</v>
      </c>
      <c r="CP133" s="1">
        <v>43595</v>
      </c>
    </row>
    <row r="134" spans="1:94" x14ac:dyDescent="0.25">
      <c r="A134" s="4" t="s">
        <v>528</v>
      </c>
      <c r="B134" t="str">
        <f xml:space="preserve"> "" &amp; 706411020476</f>
        <v>706411020476</v>
      </c>
      <c r="C134" t="s">
        <v>481</v>
      </c>
      <c r="D134" t="s">
        <v>4456</v>
      </c>
      <c r="F134" t="s">
        <v>135</v>
      </c>
      <c r="G134">
        <v>1</v>
      </c>
      <c r="H134">
        <v>1</v>
      </c>
      <c r="I134" t="s">
        <v>97</v>
      </c>
      <c r="J134" s="32">
        <v>1.95</v>
      </c>
      <c r="K134" s="32">
        <v>5.85</v>
      </c>
      <c r="L134">
        <v>0</v>
      </c>
      <c r="N134">
        <v>0</v>
      </c>
      <c r="S134">
        <v>0.5</v>
      </c>
      <c r="T134">
        <v>2.5</v>
      </c>
      <c r="U134">
        <v>2.5</v>
      </c>
      <c r="W134">
        <v>5.5E-2</v>
      </c>
      <c r="X134">
        <v>1</v>
      </c>
      <c r="Y134">
        <v>6.12</v>
      </c>
      <c r="Z134">
        <v>6.5</v>
      </c>
      <c r="AA134">
        <v>6</v>
      </c>
      <c r="AB134">
        <v>0.14000000000000001</v>
      </c>
      <c r="AC134">
        <v>6.4000000000000001E-2</v>
      </c>
      <c r="AK134" t="s">
        <v>98</v>
      </c>
      <c r="AM134" t="s">
        <v>98</v>
      </c>
      <c r="AN134" t="s">
        <v>98</v>
      </c>
      <c r="AO134" t="s">
        <v>98</v>
      </c>
      <c r="AP134" t="s">
        <v>99</v>
      </c>
      <c r="AQ134" t="s">
        <v>102</v>
      </c>
      <c r="AV134" t="s">
        <v>98</v>
      </c>
      <c r="AX134" t="s">
        <v>298</v>
      </c>
      <c r="BC134" t="s">
        <v>485</v>
      </c>
      <c r="BF134" t="s">
        <v>529</v>
      </c>
      <c r="BG134" t="s">
        <v>98</v>
      </c>
      <c r="BH134" t="s">
        <v>98</v>
      </c>
      <c r="BI134" t="s">
        <v>98</v>
      </c>
      <c r="BK134" t="s">
        <v>138</v>
      </c>
      <c r="CA134" t="s">
        <v>480</v>
      </c>
      <c r="CB134" t="s">
        <v>298</v>
      </c>
      <c r="CL134" t="s">
        <v>98</v>
      </c>
      <c r="CM134" t="s">
        <v>98</v>
      </c>
      <c r="CN134" t="s">
        <v>349</v>
      </c>
      <c r="CO134" s="1">
        <v>40827</v>
      </c>
      <c r="CP134" s="1">
        <v>43595</v>
      </c>
    </row>
    <row r="135" spans="1:94" x14ac:dyDescent="0.25">
      <c r="A135" s="4" t="s">
        <v>530</v>
      </c>
      <c r="B135" t="str">
        <f xml:space="preserve"> "" &amp; 860509000402</f>
        <v>860509000402</v>
      </c>
      <c r="C135" t="s">
        <v>531</v>
      </c>
      <c r="D135" t="s">
        <v>532</v>
      </c>
      <c r="E135" t="s">
        <v>533</v>
      </c>
      <c r="F135" t="s">
        <v>534</v>
      </c>
      <c r="G135">
        <v>1</v>
      </c>
      <c r="H135">
        <v>1</v>
      </c>
      <c r="I135" t="s">
        <v>97</v>
      </c>
      <c r="J135" s="32">
        <v>69</v>
      </c>
      <c r="K135" s="32">
        <v>207</v>
      </c>
      <c r="L135">
        <v>0</v>
      </c>
      <c r="N135">
        <v>0</v>
      </c>
      <c r="Q135" t="s">
        <v>291</v>
      </c>
      <c r="R135" s="32">
        <v>99</v>
      </c>
      <c r="S135">
        <v>2.25</v>
      </c>
      <c r="T135">
        <v>7</v>
      </c>
      <c r="U135">
        <v>7</v>
      </c>
      <c r="W135">
        <v>1.17</v>
      </c>
      <c r="X135">
        <v>1</v>
      </c>
      <c r="Y135">
        <v>2.5</v>
      </c>
      <c r="Z135">
        <v>7.5</v>
      </c>
      <c r="AA135">
        <v>6</v>
      </c>
      <c r="AB135">
        <v>6.5000000000000002E-2</v>
      </c>
      <c r="AC135">
        <v>0.95</v>
      </c>
      <c r="AK135" t="s">
        <v>98</v>
      </c>
      <c r="AM135" t="s">
        <v>98</v>
      </c>
      <c r="AN135" t="s">
        <v>98</v>
      </c>
      <c r="AO135" t="s">
        <v>98</v>
      </c>
      <c r="AP135" t="s">
        <v>99</v>
      </c>
      <c r="AQ135" t="s">
        <v>102</v>
      </c>
      <c r="AV135" t="s">
        <v>98</v>
      </c>
      <c r="AX135" t="s">
        <v>146</v>
      </c>
      <c r="AZ135" t="s">
        <v>535</v>
      </c>
      <c r="BF135" t="s">
        <v>536</v>
      </c>
      <c r="BG135" t="s">
        <v>98</v>
      </c>
      <c r="BH135" t="s">
        <v>98</v>
      </c>
      <c r="BI135" t="s">
        <v>98</v>
      </c>
      <c r="BK135" t="s">
        <v>138</v>
      </c>
      <c r="CA135" t="s">
        <v>537</v>
      </c>
      <c r="CB135" t="s">
        <v>146</v>
      </c>
      <c r="CL135" t="s">
        <v>98</v>
      </c>
      <c r="CM135" t="s">
        <v>98</v>
      </c>
      <c r="CO135" s="1">
        <v>43130</v>
      </c>
      <c r="CP135" s="1">
        <v>43595</v>
      </c>
    </row>
    <row r="136" spans="1:94" x14ac:dyDescent="0.25">
      <c r="A136" s="4" t="s">
        <v>538</v>
      </c>
      <c r="B136" t="str">
        <f xml:space="preserve"> "" &amp; 706411030352</f>
        <v>706411030352</v>
      </c>
      <c r="C136" t="s">
        <v>539</v>
      </c>
      <c r="D136" t="s">
        <v>4495</v>
      </c>
      <c r="E136" t="s">
        <v>540</v>
      </c>
      <c r="F136" t="s">
        <v>534</v>
      </c>
      <c r="G136">
        <v>1</v>
      </c>
      <c r="H136">
        <v>1</v>
      </c>
      <c r="I136" t="s">
        <v>97</v>
      </c>
      <c r="J136" s="32">
        <v>59.95</v>
      </c>
      <c r="K136" s="32">
        <v>179.85</v>
      </c>
      <c r="L136">
        <v>0</v>
      </c>
      <c r="N136">
        <v>0</v>
      </c>
      <c r="S136">
        <v>4.2</v>
      </c>
      <c r="T136">
        <v>22</v>
      </c>
      <c r="U136">
        <v>22</v>
      </c>
      <c r="W136">
        <v>2.95</v>
      </c>
      <c r="X136">
        <v>1</v>
      </c>
      <c r="Y136">
        <v>1.875</v>
      </c>
      <c r="Z136">
        <v>21.25</v>
      </c>
      <c r="AA136">
        <v>21.25</v>
      </c>
      <c r="AB136">
        <v>0.49</v>
      </c>
      <c r="AC136">
        <v>3.73</v>
      </c>
      <c r="AK136" t="s">
        <v>98</v>
      </c>
      <c r="AM136" t="s">
        <v>98</v>
      </c>
      <c r="AN136" t="s">
        <v>98</v>
      </c>
      <c r="AO136" t="s">
        <v>98</v>
      </c>
      <c r="AP136" t="s">
        <v>99</v>
      </c>
      <c r="AQ136" t="s">
        <v>102</v>
      </c>
      <c r="AV136" t="s">
        <v>98</v>
      </c>
      <c r="AX136" t="s">
        <v>541</v>
      </c>
      <c r="AZ136" t="s">
        <v>109</v>
      </c>
      <c r="BF136" t="s">
        <v>542</v>
      </c>
      <c r="BG136" t="s">
        <v>98</v>
      </c>
      <c r="BH136" t="s">
        <v>98</v>
      </c>
      <c r="BI136" t="s">
        <v>98</v>
      </c>
      <c r="BK136" t="s">
        <v>138</v>
      </c>
      <c r="CA136" t="s">
        <v>543</v>
      </c>
      <c r="CB136" t="s">
        <v>541</v>
      </c>
      <c r="CL136" t="s">
        <v>98</v>
      </c>
      <c r="CM136" t="s">
        <v>98</v>
      </c>
      <c r="CN136" t="s">
        <v>544</v>
      </c>
      <c r="CO136" s="1">
        <v>38812</v>
      </c>
      <c r="CP136" s="1">
        <v>43619</v>
      </c>
    </row>
    <row r="137" spans="1:94" x14ac:dyDescent="0.25">
      <c r="A137" s="4" t="s">
        <v>545</v>
      </c>
      <c r="B137" t="str">
        <f xml:space="preserve"> "" &amp; 706411030376</f>
        <v>706411030376</v>
      </c>
      <c r="C137" t="s">
        <v>539</v>
      </c>
      <c r="D137" t="s">
        <v>4495</v>
      </c>
      <c r="E137" t="s">
        <v>540</v>
      </c>
      <c r="F137" t="s">
        <v>534</v>
      </c>
      <c r="G137">
        <v>1</v>
      </c>
      <c r="H137">
        <v>1</v>
      </c>
      <c r="I137" t="s">
        <v>97</v>
      </c>
      <c r="J137" s="32">
        <v>139.94999999999999</v>
      </c>
      <c r="K137" s="32">
        <v>419.85</v>
      </c>
      <c r="L137">
        <v>0</v>
      </c>
      <c r="N137">
        <v>0</v>
      </c>
      <c r="S137">
        <v>2.64</v>
      </c>
      <c r="T137">
        <v>41.3</v>
      </c>
      <c r="U137">
        <v>38.19</v>
      </c>
      <c r="W137">
        <v>9.33</v>
      </c>
      <c r="X137">
        <v>1</v>
      </c>
      <c r="Y137">
        <v>4.17</v>
      </c>
      <c r="Z137">
        <v>41.3</v>
      </c>
      <c r="AA137">
        <v>41.3</v>
      </c>
      <c r="AB137">
        <v>4.1159999999999997</v>
      </c>
      <c r="AC137">
        <v>16.760000000000002</v>
      </c>
      <c r="AK137" t="s">
        <v>98</v>
      </c>
      <c r="AM137" t="s">
        <v>98</v>
      </c>
      <c r="AN137" t="s">
        <v>98</v>
      </c>
      <c r="AO137" t="s">
        <v>98</v>
      </c>
      <c r="AP137" t="s">
        <v>99</v>
      </c>
      <c r="AQ137" t="s">
        <v>102</v>
      </c>
      <c r="AV137" t="s">
        <v>98</v>
      </c>
      <c r="AX137" t="s">
        <v>541</v>
      </c>
      <c r="BF137" t="s">
        <v>546</v>
      </c>
      <c r="BG137" t="s">
        <v>98</v>
      </c>
      <c r="BH137" t="s">
        <v>98</v>
      </c>
      <c r="BI137" t="s">
        <v>98</v>
      </c>
      <c r="BK137" t="s">
        <v>138</v>
      </c>
      <c r="CA137" t="s">
        <v>547</v>
      </c>
      <c r="CB137" t="s">
        <v>541</v>
      </c>
      <c r="CL137" t="s">
        <v>98</v>
      </c>
      <c r="CM137" t="s">
        <v>98</v>
      </c>
      <c r="CO137" s="1">
        <v>38787</v>
      </c>
      <c r="CP137" s="1">
        <v>43595</v>
      </c>
    </row>
    <row r="138" spans="1:94" x14ac:dyDescent="0.25">
      <c r="A138" s="4" t="s">
        <v>548</v>
      </c>
      <c r="B138" t="str">
        <f xml:space="preserve"> "" &amp; 706411045158</f>
        <v>706411045158</v>
      </c>
      <c r="C138" t="s">
        <v>549</v>
      </c>
      <c r="D138" t="s">
        <v>550</v>
      </c>
      <c r="F138" t="s">
        <v>551</v>
      </c>
      <c r="G138">
        <v>1</v>
      </c>
      <c r="H138">
        <v>1</v>
      </c>
      <c r="I138" t="s">
        <v>97</v>
      </c>
      <c r="J138" s="32">
        <v>29.95</v>
      </c>
      <c r="K138" s="32">
        <v>89.85</v>
      </c>
      <c r="L138">
        <v>0</v>
      </c>
      <c r="N138">
        <v>0</v>
      </c>
      <c r="S138">
        <v>1.88</v>
      </c>
      <c r="T138">
        <v>4.5</v>
      </c>
      <c r="U138">
        <v>4.25</v>
      </c>
      <c r="W138">
        <v>0.31</v>
      </c>
      <c r="X138">
        <v>1</v>
      </c>
      <c r="Y138">
        <v>1.88</v>
      </c>
      <c r="Z138">
        <v>5</v>
      </c>
      <c r="AA138">
        <v>4.88</v>
      </c>
      <c r="AB138">
        <v>2.7E-2</v>
      </c>
      <c r="AC138">
        <v>0.42</v>
      </c>
      <c r="AK138" t="s">
        <v>98</v>
      </c>
      <c r="AM138" t="s">
        <v>98</v>
      </c>
      <c r="AN138" t="s">
        <v>291</v>
      </c>
      <c r="AO138" t="s">
        <v>98</v>
      </c>
      <c r="AP138" t="s">
        <v>99</v>
      </c>
      <c r="AQ138" t="s">
        <v>102</v>
      </c>
      <c r="AV138" t="s">
        <v>98</v>
      </c>
      <c r="BF138" t="s">
        <v>552</v>
      </c>
      <c r="BG138" t="s">
        <v>98</v>
      </c>
      <c r="BH138" t="s">
        <v>98</v>
      </c>
      <c r="BI138" t="s">
        <v>98</v>
      </c>
      <c r="BK138" t="s">
        <v>138</v>
      </c>
      <c r="CL138" t="s">
        <v>98</v>
      </c>
      <c r="CM138" t="s">
        <v>98</v>
      </c>
      <c r="CN138" t="s">
        <v>553</v>
      </c>
      <c r="CO138" s="1">
        <v>43393</v>
      </c>
      <c r="CP138" s="1">
        <v>43595</v>
      </c>
    </row>
    <row r="139" spans="1:94" x14ac:dyDescent="0.25">
      <c r="A139" s="4" t="s">
        <v>554</v>
      </c>
      <c r="B139" t="str">
        <f xml:space="preserve"> "" &amp; 706411050435</f>
        <v>706411050435</v>
      </c>
      <c r="C139" t="s">
        <v>555</v>
      </c>
      <c r="D139" t="s">
        <v>556</v>
      </c>
      <c r="F139" t="s">
        <v>551</v>
      </c>
      <c r="G139">
        <v>1</v>
      </c>
      <c r="H139">
        <v>1</v>
      </c>
      <c r="I139" t="s">
        <v>97</v>
      </c>
      <c r="J139" s="32">
        <v>29.95</v>
      </c>
      <c r="K139" s="32">
        <v>89.85</v>
      </c>
      <c r="L139">
        <v>0</v>
      </c>
      <c r="N139">
        <v>0</v>
      </c>
      <c r="S139">
        <v>1.88</v>
      </c>
      <c r="T139">
        <v>5</v>
      </c>
      <c r="U139">
        <v>4.88</v>
      </c>
      <c r="W139">
        <v>0.31</v>
      </c>
      <c r="X139">
        <v>1</v>
      </c>
      <c r="Y139">
        <v>1.88</v>
      </c>
      <c r="Z139">
        <v>5</v>
      </c>
      <c r="AA139">
        <v>4.88</v>
      </c>
      <c r="AB139">
        <v>2.7E-2</v>
      </c>
      <c r="AC139">
        <v>0.42</v>
      </c>
      <c r="AK139" t="s">
        <v>98</v>
      </c>
      <c r="AM139" t="s">
        <v>98</v>
      </c>
      <c r="AN139" t="s">
        <v>291</v>
      </c>
      <c r="AO139" t="s">
        <v>98</v>
      </c>
      <c r="AP139" t="s">
        <v>99</v>
      </c>
      <c r="AQ139" t="s">
        <v>102</v>
      </c>
      <c r="AV139" t="s">
        <v>98</v>
      </c>
      <c r="AX139" t="s">
        <v>302</v>
      </c>
      <c r="BF139" t="s">
        <v>557</v>
      </c>
      <c r="BG139" t="s">
        <v>98</v>
      </c>
      <c r="BH139" t="s">
        <v>98</v>
      </c>
      <c r="BI139" t="s">
        <v>98</v>
      </c>
      <c r="BK139" t="s">
        <v>138</v>
      </c>
      <c r="CB139" t="s">
        <v>302</v>
      </c>
      <c r="CL139" t="s">
        <v>98</v>
      </c>
      <c r="CM139" t="s">
        <v>98</v>
      </c>
      <c r="CN139" t="s">
        <v>553</v>
      </c>
      <c r="CO139" s="1">
        <v>43396</v>
      </c>
      <c r="CP139" s="1">
        <v>43595</v>
      </c>
    </row>
    <row r="140" spans="1:94" x14ac:dyDescent="0.25">
      <c r="A140" s="4" t="s">
        <v>558</v>
      </c>
      <c r="B140" t="str">
        <f xml:space="preserve"> "" &amp; 706411045073</f>
        <v>706411045073</v>
      </c>
      <c r="C140" t="s">
        <v>559</v>
      </c>
      <c r="D140" t="s">
        <v>559</v>
      </c>
      <c r="F140" t="s">
        <v>551</v>
      </c>
      <c r="G140">
        <v>1</v>
      </c>
      <c r="H140">
        <v>1</v>
      </c>
      <c r="I140" t="s">
        <v>97</v>
      </c>
      <c r="J140" s="32">
        <v>25.95</v>
      </c>
      <c r="K140" s="32">
        <v>77.849999999999994</v>
      </c>
      <c r="L140">
        <v>0</v>
      </c>
      <c r="N140">
        <v>0</v>
      </c>
      <c r="S140">
        <v>3.5</v>
      </c>
      <c r="T140">
        <v>3.5</v>
      </c>
      <c r="U140">
        <v>5.63</v>
      </c>
      <c r="W140">
        <v>0.35</v>
      </c>
      <c r="X140">
        <v>1</v>
      </c>
      <c r="Y140">
        <v>1.5</v>
      </c>
      <c r="Z140">
        <v>5.88</v>
      </c>
      <c r="AA140">
        <v>4.38</v>
      </c>
      <c r="AB140">
        <v>2.1999999999999999E-2</v>
      </c>
      <c r="AC140">
        <v>0.42</v>
      </c>
      <c r="AK140" t="s">
        <v>98</v>
      </c>
      <c r="AM140" t="s">
        <v>98</v>
      </c>
      <c r="AN140" t="s">
        <v>291</v>
      </c>
      <c r="AO140" t="s">
        <v>98</v>
      </c>
      <c r="AP140" t="s">
        <v>99</v>
      </c>
      <c r="AQ140" t="s">
        <v>102</v>
      </c>
      <c r="AV140" t="s">
        <v>98</v>
      </c>
      <c r="AX140" t="s">
        <v>560</v>
      </c>
      <c r="AZ140" t="s">
        <v>109</v>
      </c>
      <c r="BF140" t="s">
        <v>561</v>
      </c>
      <c r="BG140" t="s">
        <v>98</v>
      </c>
      <c r="BH140" t="s">
        <v>98</v>
      </c>
      <c r="BI140" t="s">
        <v>98</v>
      </c>
      <c r="BK140" t="s">
        <v>138</v>
      </c>
      <c r="CA140" t="s">
        <v>562</v>
      </c>
      <c r="CB140" t="s">
        <v>560</v>
      </c>
      <c r="CL140" t="s">
        <v>98</v>
      </c>
      <c r="CM140" t="s">
        <v>98</v>
      </c>
      <c r="CN140" t="s">
        <v>553</v>
      </c>
      <c r="CO140" s="1">
        <v>42558</v>
      </c>
      <c r="CP140" s="1">
        <v>43595</v>
      </c>
    </row>
    <row r="141" spans="1:94" x14ac:dyDescent="0.25">
      <c r="A141" s="4" t="s">
        <v>563</v>
      </c>
      <c r="B141" t="str">
        <f xml:space="preserve"> "" &amp; 706411045066</f>
        <v>706411045066</v>
      </c>
      <c r="C141" t="s">
        <v>549</v>
      </c>
      <c r="D141" t="s">
        <v>564</v>
      </c>
      <c r="F141" t="s">
        <v>551</v>
      </c>
      <c r="G141">
        <v>1</v>
      </c>
      <c r="H141">
        <v>1</v>
      </c>
      <c r="I141" t="s">
        <v>97</v>
      </c>
      <c r="J141" s="32">
        <v>45.95</v>
      </c>
      <c r="K141" s="32">
        <v>137.85</v>
      </c>
      <c r="L141">
        <v>0</v>
      </c>
      <c r="N141">
        <v>0</v>
      </c>
      <c r="S141">
        <v>1.5</v>
      </c>
      <c r="T141">
        <v>4.75</v>
      </c>
      <c r="U141">
        <v>4.75</v>
      </c>
      <c r="W141">
        <v>0.46</v>
      </c>
      <c r="X141">
        <v>1</v>
      </c>
      <c r="Y141">
        <v>2</v>
      </c>
      <c r="Z141">
        <v>4.88</v>
      </c>
      <c r="AA141">
        <v>4.88</v>
      </c>
      <c r="AB141">
        <v>2.8000000000000001E-2</v>
      </c>
      <c r="AC141">
        <v>0.49</v>
      </c>
      <c r="AK141" t="s">
        <v>98</v>
      </c>
      <c r="AM141" t="s">
        <v>98</v>
      </c>
      <c r="AN141" t="s">
        <v>291</v>
      </c>
      <c r="AO141" t="s">
        <v>98</v>
      </c>
      <c r="AP141" t="s">
        <v>99</v>
      </c>
      <c r="AQ141" t="s">
        <v>102</v>
      </c>
      <c r="AV141" t="s">
        <v>98</v>
      </c>
      <c r="AX141" t="s">
        <v>146</v>
      </c>
      <c r="BF141" t="s">
        <v>565</v>
      </c>
      <c r="BG141" t="s">
        <v>98</v>
      </c>
      <c r="BH141" t="s">
        <v>98</v>
      </c>
      <c r="BI141" t="s">
        <v>98</v>
      </c>
      <c r="BK141" t="s">
        <v>138</v>
      </c>
      <c r="CB141" t="s">
        <v>146</v>
      </c>
      <c r="CL141" t="s">
        <v>98</v>
      </c>
      <c r="CM141" t="s">
        <v>98</v>
      </c>
      <c r="CN141" t="s">
        <v>553</v>
      </c>
      <c r="CO141" s="1">
        <v>43417</v>
      </c>
      <c r="CP141" s="1">
        <v>43595</v>
      </c>
    </row>
    <row r="142" spans="1:94" x14ac:dyDescent="0.25">
      <c r="A142" s="4" t="s">
        <v>566</v>
      </c>
      <c r="B142" t="str">
        <f xml:space="preserve"> "" &amp; 706411053993</f>
        <v>706411053993</v>
      </c>
      <c r="C142" t="s">
        <v>567</v>
      </c>
      <c r="D142" t="s">
        <v>567</v>
      </c>
      <c r="F142" t="s">
        <v>551</v>
      </c>
      <c r="G142">
        <v>1</v>
      </c>
      <c r="H142">
        <v>1</v>
      </c>
      <c r="I142" t="s">
        <v>97</v>
      </c>
      <c r="J142" s="32">
        <v>45.95</v>
      </c>
      <c r="K142" s="32">
        <v>137.85</v>
      </c>
      <c r="L142">
        <v>0</v>
      </c>
      <c r="N142">
        <v>0</v>
      </c>
      <c r="S142">
        <v>4.38</v>
      </c>
      <c r="T142">
        <v>4.38</v>
      </c>
      <c r="U142">
        <v>5.25</v>
      </c>
      <c r="V142">
        <v>0.05</v>
      </c>
      <c r="W142">
        <v>0.28999999999999998</v>
      </c>
      <c r="X142">
        <v>1</v>
      </c>
      <c r="AB142">
        <v>2.07E-2</v>
      </c>
      <c r="AC142">
        <v>0.33</v>
      </c>
      <c r="AK142" t="s">
        <v>98</v>
      </c>
      <c r="AM142" t="s">
        <v>98</v>
      </c>
      <c r="AN142" t="s">
        <v>291</v>
      </c>
      <c r="AO142" t="s">
        <v>98</v>
      </c>
      <c r="AP142" t="s">
        <v>99</v>
      </c>
      <c r="AQ142" t="s">
        <v>102</v>
      </c>
      <c r="AV142" t="s">
        <v>98</v>
      </c>
      <c r="AX142" t="s">
        <v>560</v>
      </c>
      <c r="AZ142" t="s">
        <v>109</v>
      </c>
      <c r="BF142" t="s">
        <v>568</v>
      </c>
      <c r="BG142" t="s">
        <v>98</v>
      </c>
      <c r="BH142" t="s">
        <v>98</v>
      </c>
      <c r="BI142" t="s">
        <v>98</v>
      </c>
      <c r="BK142" t="s">
        <v>138</v>
      </c>
      <c r="CA142" t="s">
        <v>562</v>
      </c>
      <c r="CB142" t="s">
        <v>560</v>
      </c>
      <c r="CL142" t="s">
        <v>98</v>
      </c>
      <c r="CM142" t="s">
        <v>98</v>
      </c>
      <c r="CN142" t="s">
        <v>553</v>
      </c>
      <c r="CO142" s="1">
        <v>42558</v>
      </c>
      <c r="CP142" s="1">
        <v>43595</v>
      </c>
    </row>
    <row r="143" spans="1:94" x14ac:dyDescent="0.25">
      <c r="A143" s="4" t="s">
        <v>569</v>
      </c>
      <c r="B143" t="str">
        <f xml:space="preserve"> "" &amp; 706411055874</f>
        <v>706411055874</v>
      </c>
      <c r="C143" t="s">
        <v>570</v>
      </c>
      <c r="D143" t="s">
        <v>571</v>
      </c>
      <c r="F143" t="s">
        <v>551</v>
      </c>
      <c r="G143">
        <v>1</v>
      </c>
      <c r="H143">
        <v>1</v>
      </c>
      <c r="I143" t="s">
        <v>97</v>
      </c>
      <c r="J143" s="32">
        <v>45.95</v>
      </c>
      <c r="K143" s="32">
        <v>137.85</v>
      </c>
      <c r="L143">
        <v>0</v>
      </c>
      <c r="N143">
        <v>0</v>
      </c>
      <c r="S143">
        <v>4.38</v>
      </c>
      <c r="T143">
        <v>4.38</v>
      </c>
      <c r="U143">
        <v>5.25</v>
      </c>
      <c r="V143">
        <v>0.5</v>
      </c>
      <c r="W143">
        <v>0.28999999999999998</v>
      </c>
      <c r="X143">
        <v>1</v>
      </c>
      <c r="AB143">
        <v>2.06E-2</v>
      </c>
      <c r="AC143">
        <v>0.33</v>
      </c>
      <c r="AK143" t="s">
        <v>98</v>
      </c>
      <c r="AM143" t="s">
        <v>98</v>
      </c>
      <c r="AN143" t="s">
        <v>291</v>
      </c>
      <c r="AO143" t="s">
        <v>98</v>
      </c>
      <c r="AP143" t="s">
        <v>99</v>
      </c>
      <c r="AQ143" t="s">
        <v>102</v>
      </c>
      <c r="AV143" t="s">
        <v>98</v>
      </c>
      <c r="AX143" t="s">
        <v>560</v>
      </c>
      <c r="AZ143" t="s">
        <v>109</v>
      </c>
      <c r="BF143" t="s">
        <v>572</v>
      </c>
      <c r="BG143" t="s">
        <v>98</v>
      </c>
      <c r="BH143" t="s">
        <v>98</v>
      </c>
      <c r="BI143" t="s">
        <v>98</v>
      </c>
      <c r="BK143" t="s">
        <v>138</v>
      </c>
      <c r="CA143" t="s">
        <v>562</v>
      </c>
      <c r="CB143" t="s">
        <v>560</v>
      </c>
      <c r="CL143" t="s">
        <v>98</v>
      </c>
      <c r="CM143" t="s">
        <v>98</v>
      </c>
      <c r="CN143" t="s">
        <v>573</v>
      </c>
      <c r="CO143" s="1">
        <v>42558</v>
      </c>
      <c r="CP143" s="1">
        <v>43595</v>
      </c>
    </row>
    <row r="144" spans="1:94" x14ac:dyDescent="0.25">
      <c r="A144" s="4" t="s">
        <v>574</v>
      </c>
      <c r="B144" t="str">
        <f xml:space="preserve"> "" &amp; 706411054846</f>
        <v>706411054846</v>
      </c>
      <c r="C144" t="s">
        <v>575</v>
      </c>
      <c r="D144" t="s">
        <v>575</v>
      </c>
      <c r="F144" t="s">
        <v>551</v>
      </c>
      <c r="G144">
        <v>1</v>
      </c>
      <c r="H144">
        <v>1</v>
      </c>
      <c r="I144" t="s">
        <v>97</v>
      </c>
      <c r="J144" s="32">
        <v>29.95</v>
      </c>
      <c r="K144" s="32">
        <v>89.85</v>
      </c>
      <c r="L144">
        <v>0</v>
      </c>
      <c r="N144">
        <v>0</v>
      </c>
      <c r="S144">
        <v>1.26</v>
      </c>
      <c r="T144">
        <v>4.6100000000000003</v>
      </c>
      <c r="U144">
        <v>2.0499999999999998</v>
      </c>
      <c r="W144">
        <v>0.24</v>
      </c>
      <c r="X144">
        <v>1</v>
      </c>
      <c r="Y144">
        <v>2</v>
      </c>
      <c r="Z144">
        <v>6.88</v>
      </c>
      <c r="AA144">
        <v>3.5</v>
      </c>
      <c r="AB144">
        <v>2.8000000000000001E-2</v>
      </c>
      <c r="AC144">
        <v>0.31</v>
      </c>
      <c r="AK144" t="s">
        <v>98</v>
      </c>
      <c r="AM144" t="s">
        <v>98</v>
      </c>
      <c r="AN144" t="s">
        <v>291</v>
      </c>
      <c r="AO144" t="s">
        <v>98</v>
      </c>
      <c r="AP144" t="s">
        <v>99</v>
      </c>
      <c r="AQ144" t="s">
        <v>102</v>
      </c>
      <c r="AV144" t="s">
        <v>98</v>
      </c>
      <c r="AX144" t="s">
        <v>560</v>
      </c>
      <c r="BF144" t="s">
        <v>576</v>
      </c>
      <c r="BG144" t="s">
        <v>98</v>
      </c>
      <c r="BH144" t="s">
        <v>98</v>
      </c>
      <c r="BI144" t="s">
        <v>98</v>
      </c>
      <c r="BJ144" t="s">
        <v>291</v>
      </c>
      <c r="BK144" t="s">
        <v>292</v>
      </c>
      <c r="CB144" t="s">
        <v>560</v>
      </c>
      <c r="CL144" t="s">
        <v>98</v>
      </c>
      <c r="CM144" t="s">
        <v>98</v>
      </c>
      <c r="CN144" t="s">
        <v>553</v>
      </c>
      <c r="CO144" s="1">
        <v>43291</v>
      </c>
      <c r="CP144" s="1">
        <v>43595</v>
      </c>
    </row>
    <row r="145" spans="1:94" x14ac:dyDescent="0.25">
      <c r="A145" s="4" t="s">
        <v>577</v>
      </c>
      <c r="B145" t="str">
        <f xml:space="preserve"> "" &amp; 706411054938</f>
        <v>706411054938</v>
      </c>
      <c r="C145" t="s">
        <v>578</v>
      </c>
      <c r="D145" t="s">
        <v>578</v>
      </c>
      <c r="F145" t="s">
        <v>551</v>
      </c>
      <c r="G145">
        <v>1</v>
      </c>
      <c r="H145">
        <v>1</v>
      </c>
      <c r="I145" t="s">
        <v>97</v>
      </c>
      <c r="J145" s="32">
        <v>35.950000000000003</v>
      </c>
      <c r="K145" s="32">
        <v>107.85</v>
      </c>
      <c r="L145">
        <v>0</v>
      </c>
      <c r="N145">
        <v>0</v>
      </c>
      <c r="S145">
        <v>1.26</v>
      </c>
      <c r="T145">
        <v>4.6100000000000003</v>
      </c>
      <c r="U145">
        <v>2.0499999999999998</v>
      </c>
      <c r="W145">
        <v>0.24</v>
      </c>
      <c r="X145">
        <v>1</v>
      </c>
      <c r="Y145">
        <v>2</v>
      </c>
      <c r="Z145">
        <v>6.88</v>
      </c>
      <c r="AA145">
        <v>3.5</v>
      </c>
      <c r="AB145">
        <v>2.8000000000000001E-2</v>
      </c>
      <c r="AC145">
        <v>0.31</v>
      </c>
      <c r="AK145" t="s">
        <v>98</v>
      </c>
      <c r="AM145" t="s">
        <v>98</v>
      </c>
      <c r="AN145" t="s">
        <v>291</v>
      </c>
      <c r="AO145" t="s">
        <v>98</v>
      </c>
      <c r="AP145" t="s">
        <v>99</v>
      </c>
      <c r="AQ145" t="s">
        <v>102</v>
      </c>
      <c r="AV145" t="s">
        <v>98</v>
      </c>
      <c r="AX145" t="s">
        <v>560</v>
      </c>
      <c r="BF145" t="s">
        <v>579</v>
      </c>
      <c r="BG145" t="s">
        <v>98</v>
      </c>
      <c r="BH145" t="s">
        <v>98</v>
      </c>
      <c r="BI145" t="s">
        <v>98</v>
      </c>
      <c r="BK145" t="s">
        <v>138</v>
      </c>
      <c r="CA145" t="s">
        <v>577</v>
      </c>
      <c r="CB145" t="s">
        <v>560</v>
      </c>
      <c r="CL145" t="s">
        <v>98</v>
      </c>
      <c r="CM145" t="s">
        <v>98</v>
      </c>
      <c r="CN145" t="s">
        <v>553</v>
      </c>
      <c r="CO145" s="1">
        <v>43291</v>
      </c>
      <c r="CP145" s="1">
        <v>43595</v>
      </c>
    </row>
    <row r="146" spans="1:94" x14ac:dyDescent="0.25">
      <c r="A146" s="4" t="s">
        <v>580</v>
      </c>
      <c r="B146" t="str">
        <f xml:space="preserve"> "" &amp; 706411053597</f>
        <v>706411053597</v>
      </c>
      <c r="C146" t="s">
        <v>581</v>
      </c>
      <c r="D146" t="s">
        <v>582</v>
      </c>
      <c r="F146" t="s">
        <v>551</v>
      </c>
      <c r="G146">
        <v>1</v>
      </c>
      <c r="H146">
        <v>1</v>
      </c>
      <c r="I146" t="s">
        <v>97</v>
      </c>
      <c r="J146" s="32">
        <v>29.95</v>
      </c>
      <c r="K146" s="32">
        <v>89.85</v>
      </c>
      <c r="L146">
        <v>0</v>
      </c>
      <c r="N146">
        <v>0</v>
      </c>
      <c r="T146">
        <v>1.25</v>
      </c>
      <c r="U146">
        <v>4.38</v>
      </c>
      <c r="W146">
        <v>0.33</v>
      </c>
      <c r="X146">
        <v>1</v>
      </c>
      <c r="AB146">
        <v>4.3200000000000002E-2</v>
      </c>
      <c r="AC146">
        <v>0.441</v>
      </c>
      <c r="AK146" t="s">
        <v>98</v>
      </c>
      <c r="AM146" t="s">
        <v>98</v>
      </c>
      <c r="AN146" t="s">
        <v>291</v>
      </c>
      <c r="AO146" t="s">
        <v>98</v>
      </c>
      <c r="AP146" t="s">
        <v>99</v>
      </c>
      <c r="AQ146" t="s">
        <v>102</v>
      </c>
      <c r="AV146" t="s">
        <v>98</v>
      </c>
      <c r="AX146" t="s">
        <v>302</v>
      </c>
      <c r="AZ146" t="s">
        <v>109</v>
      </c>
      <c r="BF146" t="s">
        <v>583</v>
      </c>
      <c r="BG146" t="s">
        <v>98</v>
      </c>
      <c r="BH146" t="s">
        <v>98</v>
      </c>
      <c r="BI146" t="s">
        <v>98</v>
      </c>
      <c r="BK146" t="s">
        <v>138</v>
      </c>
      <c r="CA146" t="s">
        <v>562</v>
      </c>
      <c r="CB146" t="s">
        <v>302</v>
      </c>
      <c r="CL146" t="s">
        <v>98</v>
      </c>
      <c r="CM146" t="s">
        <v>98</v>
      </c>
      <c r="CN146" t="s">
        <v>553</v>
      </c>
      <c r="CO146" s="1">
        <v>42796</v>
      </c>
      <c r="CP146" s="1">
        <v>43595</v>
      </c>
    </row>
    <row r="147" spans="1:94" x14ac:dyDescent="0.25">
      <c r="A147" s="4" t="s">
        <v>584</v>
      </c>
      <c r="B147" t="str">
        <f xml:space="preserve"> "" &amp; 706411055409</f>
        <v>706411055409</v>
      </c>
      <c r="C147" t="s">
        <v>585</v>
      </c>
      <c r="D147" t="s">
        <v>585</v>
      </c>
      <c r="F147" t="s">
        <v>551</v>
      </c>
      <c r="G147">
        <v>1</v>
      </c>
      <c r="H147">
        <v>1</v>
      </c>
      <c r="I147" t="s">
        <v>97</v>
      </c>
      <c r="J147" s="32">
        <v>45.95</v>
      </c>
      <c r="K147" s="32">
        <v>137.85</v>
      </c>
      <c r="L147">
        <v>0</v>
      </c>
      <c r="N147">
        <v>0</v>
      </c>
      <c r="S147">
        <v>4.38</v>
      </c>
      <c r="T147">
        <v>4.38</v>
      </c>
      <c r="U147">
        <v>5.25</v>
      </c>
      <c r="V147">
        <v>0.5</v>
      </c>
      <c r="W147">
        <v>0.28999999999999998</v>
      </c>
      <c r="X147">
        <v>1</v>
      </c>
      <c r="AB147">
        <v>2.1600000000000001E-2</v>
      </c>
      <c r="AC147">
        <v>0.33</v>
      </c>
      <c r="AK147" t="s">
        <v>98</v>
      </c>
      <c r="AM147" t="s">
        <v>98</v>
      </c>
      <c r="AN147" t="s">
        <v>291</v>
      </c>
      <c r="AO147" t="s">
        <v>98</v>
      </c>
      <c r="AP147" t="s">
        <v>99</v>
      </c>
      <c r="AQ147" t="s">
        <v>102</v>
      </c>
      <c r="AV147" t="s">
        <v>98</v>
      </c>
      <c r="AX147" t="s">
        <v>560</v>
      </c>
      <c r="AZ147" t="s">
        <v>109</v>
      </c>
      <c r="BF147" t="s">
        <v>586</v>
      </c>
      <c r="BG147" t="s">
        <v>98</v>
      </c>
      <c r="BH147" t="s">
        <v>98</v>
      </c>
      <c r="BI147" t="s">
        <v>98</v>
      </c>
      <c r="BK147" t="s">
        <v>138</v>
      </c>
      <c r="CA147" t="s">
        <v>562</v>
      </c>
      <c r="CB147" t="s">
        <v>560</v>
      </c>
      <c r="CL147" t="s">
        <v>98</v>
      </c>
      <c r="CM147" t="s">
        <v>98</v>
      </c>
      <c r="CN147" t="s">
        <v>553</v>
      </c>
      <c r="CO147" s="1">
        <v>42558</v>
      </c>
      <c r="CP147" s="1">
        <v>43595</v>
      </c>
    </row>
    <row r="148" spans="1:94" x14ac:dyDescent="0.25">
      <c r="A148" s="4" t="s">
        <v>587</v>
      </c>
      <c r="B148" t="str">
        <f xml:space="preserve"> "" &amp; 706411060380</f>
        <v>706411060380</v>
      </c>
      <c r="C148" t="s">
        <v>588</v>
      </c>
      <c r="D148" t="s">
        <v>588</v>
      </c>
      <c r="F148" t="s">
        <v>551</v>
      </c>
      <c r="G148">
        <v>1</v>
      </c>
      <c r="H148">
        <v>1</v>
      </c>
      <c r="I148" t="s">
        <v>97</v>
      </c>
      <c r="J148" s="32">
        <v>39.950000000000003</v>
      </c>
      <c r="K148" s="32">
        <v>119.85</v>
      </c>
      <c r="L148">
        <v>0</v>
      </c>
      <c r="N148">
        <v>0</v>
      </c>
      <c r="S148">
        <v>2</v>
      </c>
      <c r="T148">
        <v>1.25</v>
      </c>
      <c r="U148">
        <v>4.5</v>
      </c>
      <c r="W148">
        <v>0.31</v>
      </c>
      <c r="X148">
        <v>1</v>
      </c>
      <c r="Y148">
        <v>2</v>
      </c>
      <c r="Z148">
        <v>5</v>
      </c>
      <c r="AA148">
        <v>5</v>
      </c>
      <c r="AB148">
        <v>2.9000000000000001E-2</v>
      </c>
      <c r="AC148">
        <v>0.4</v>
      </c>
      <c r="AK148" t="s">
        <v>98</v>
      </c>
      <c r="AM148" t="s">
        <v>98</v>
      </c>
      <c r="AN148" t="s">
        <v>98</v>
      </c>
      <c r="AO148" t="s">
        <v>291</v>
      </c>
      <c r="AP148" t="s">
        <v>99</v>
      </c>
      <c r="AQ148" t="s">
        <v>102</v>
      </c>
      <c r="AV148" t="s">
        <v>98</v>
      </c>
      <c r="AZ148" t="s">
        <v>109</v>
      </c>
      <c r="BF148" t="s">
        <v>589</v>
      </c>
      <c r="BG148" t="s">
        <v>98</v>
      </c>
      <c r="BH148" t="s">
        <v>98</v>
      </c>
      <c r="BI148" t="s">
        <v>98</v>
      </c>
      <c r="BK148" t="s">
        <v>138</v>
      </c>
      <c r="CL148" t="s">
        <v>98</v>
      </c>
      <c r="CM148" t="s">
        <v>98</v>
      </c>
      <c r="CN148" t="s">
        <v>553</v>
      </c>
      <c r="CO148" s="1">
        <v>43243</v>
      </c>
      <c r="CP148" s="1">
        <v>43595</v>
      </c>
    </row>
    <row r="149" spans="1:94" x14ac:dyDescent="0.25">
      <c r="A149" s="4" t="s">
        <v>590</v>
      </c>
      <c r="B149" t="str">
        <f xml:space="preserve"> "" &amp; 706411060373</f>
        <v>706411060373</v>
      </c>
      <c r="C149" t="s">
        <v>591</v>
      </c>
      <c r="D149" t="s">
        <v>592</v>
      </c>
      <c r="F149" t="s">
        <v>551</v>
      </c>
      <c r="G149">
        <v>1</v>
      </c>
      <c r="H149">
        <v>1</v>
      </c>
      <c r="I149" t="s">
        <v>97</v>
      </c>
      <c r="J149" s="32">
        <v>41.95</v>
      </c>
      <c r="K149" s="32">
        <v>125.85</v>
      </c>
      <c r="L149">
        <v>0</v>
      </c>
      <c r="N149">
        <v>0</v>
      </c>
      <c r="S149">
        <v>2</v>
      </c>
      <c r="T149">
        <v>1.25</v>
      </c>
      <c r="U149">
        <v>4.5</v>
      </c>
      <c r="W149">
        <v>0.31</v>
      </c>
      <c r="X149">
        <v>1</v>
      </c>
      <c r="Y149">
        <v>2</v>
      </c>
      <c r="Z149">
        <v>5</v>
      </c>
      <c r="AA149">
        <v>5</v>
      </c>
      <c r="AB149">
        <v>2.9000000000000001E-2</v>
      </c>
      <c r="AC149">
        <v>0.4</v>
      </c>
      <c r="AK149" t="s">
        <v>98</v>
      </c>
      <c r="AM149" t="s">
        <v>98</v>
      </c>
      <c r="AN149" t="s">
        <v>98</v>
      </c>
      <c r="AO149" t="s">
        <v>291</v>
      </c>
      <c r="AP149" t="s">
        <v>99</v>
      </c>
      <c r="AQ149" t="s">
        <v>102</v>
      </c>
      <c r="AV149" t="s">
        <v>98</v>
      </c>
      <c r="AZ149" t="s">
        <v>109</v>
      </c>
      <c r="BF149" t="s">
        <v>593</v>
      </c>
      <c r="BG149" t="s">
        <v>98</v>
      </c>
      <c r="BH149" t="s">
        <v>98</v>
      </c>
      <c r="BI149" t="s">
        <v>98</v>
      </c>
      <c r="BK149" t="s">
        <v>138</v>
      </c>
      <c r="CL149" t="s">
        <v>98</v>
      </c>
      <c r="CM149" t="s">
        <v>98</v>
      </c>
      <c r="CN149" t="s">
        <v>594</v>
      </c>
      <c r="CO149" s="1">
        <v>43244</v>
      </c>
      <c r="CP149" s="1">
        <v>43595</v>
      </c>
    </row>
    <row r="150" spans="1:94" x14ac:dyDescent="0.25">
      <c r="A150" s="4" t="s">
        <v>595</v>
      </c>
      <c r="B150" t="str">
        <f xml:space="preserve"> "" &amp; 706411061653</f>
        <v>706411061653</v>
      </c>
      <c r="C150" t="s">
        <v>596</v>
      </c>
      <c r="D150" t="s">
        <v>597</v>
      </c>
      <c r="F150" t="s">
        <v>551</v>
      </c>
      <c r="G150">
        <v>1</v>
      </c>
      <c r="H150">
        <v>1</v>
      </c>
      <c r="I150" t="s">
        <v>97</v>
      </c>
      <c r="J150" s="32">
        <v>41.95</v>
      </c>
      <c r="K150" s="32">
        <v>125.85</v>
      </c>
      <c r="L150">
        <v>0</v>
      </c>
      <c r="N150">
        <v>0</v>
      </c>
      <c r="S150">
        <v>1.25</v>
      </c>
      <c r="T150">
        <v>2.75</v>
      </c>
      <c r="U150">
        <v>4.75</v>
      </c>
      <c r="W150">
        <v>0.28999999999999998</v>
      </c>
      <c r="X150">
        <v>1</v>
      </c>
      <c r="Y150">
        <v>1.63</v>
      </c>
      <c r="Z150">
        <v>5.5</v>
      </c>
      <c r="AA150">
        <v>3.13</v>
      </c>
      <c r="AB150">
        <v>1.6E-2</v>
      </c>
      <c r="AC150">
        <v>0.35</v>
      </c>
      <c r="AK150" t="s">
        <v>98</v>
      </c>
      <c r="AM150" t="s">
        <v>98</v>
      </c>
      <c r="AN150" t="s">
        <v>98</v>
      </c>
      <c r="AO150" t="s">
        <v>98</v>
      </c>
      <c r="AP150" t="s">
        <v>99</v>
      </c>
      <c r="AQ150" t="s">
        <v>102</v>
      </c>
      <c r="AV150" t="s">
        <v>98</v>
      </c>
      <c r="AX150" t="s">
        <v>560</v>
      </c>
      <c r="BF150" t="s">
        <v>598</v>
      </c>
      <c r="BG150" t="s">
        <v>98</v>
      </c>
      <c r="BH150" t="s">
        <v>98</v>
      </c>
      <c r="BI150" t="s">
        <v>98</v>
      </c>
      <c r="BK150" t="s">
        <v>138</v>
      </c>
      <c r="CA150" t="s">
        <v>595</v>
      </c>
      <c r="CB150" t="s">
        <v>560</v>
      </c>
      <c r="CL150" t="s">
        <v>98</v>
      </c>
      <c r="CM150" t="s">
        <v>98</v>
      </c>
      <c r="CN150" t="s">
        <v>553</v>
      </c>
      <c r="CO150" s="1">
        <v>43571</v>
      </c>
      <c r="CP150" s="1">
        <v>43571</v>
      </c>
    </row>
    <row r="151" spans="1:94" x14ac:dyDescent="0.25">
      <c r="A151" s="4" t="s">
        <v>599</v>
      </c>
      <c r="B151" t="str">
        <f xml:space="preserve"> "" &amp; 706411060670</f>
        <v>706411060670</v>
      </c>
      <c r="C151" t="s">
        <v>600</v>
      </c>
      <c r="D151" t="s">
        <v>600</v>
      </c>
      <c r="F151" t="s">
        <v>551</v>
      </c>
      <c r="G151">
        <v>1</v>
      </c>
      <c r="H151">
        <v>1</v>
      </c>
      <c r="I151" t="s">
        <v>97</v>
      </c>
      <c r="J151" s="32">
        <v>41.95</v>
      </c>
      <c r="K151" s="32">
        <v>125.85</v>
      </c>
      <c r="L151">
        <v>0</v>
      </c>
      <c r="N151">
        <v>0</v>
      </c>
      <c r="S151">
        <v>2</v>
      </c>
      <c r="T151">
        <v>4.5</v>
      </c>
      <c r="U151">
        <v>1.25</v>
      </c>
      <c r="W151">
        <v>0.31</v>
      </c>
      <c r="X151">
        <v>1</v>
      </c>
      <c r="Y151">
        <v>2</v>
      </c>
      <c r="Z151">
        <v>5</v>
      </c>
      <c r="AA151">
        <v>5</v>
      </c>
      <c r="AB151">
        <v>2.9000000000000001E-2</v>
      </c>
      <c r="AC151">
        <v>0.4</v>
      </c>
      <c r="AK151" t="s">
        <v>98</v>
      </c>
      <c r="AM151" t="s">
        <v>98</v>
      </c>
      <c r="AN151" t="s">
        <v>98</v>
      </c>
      <c r="AO151" t="s">
        <v>291</v>
      </c>
      <c r="AP151" t="s">
        <v>99</v>
      </c>
      <c r="AQ151" t="s">
        <v>102</v>
      </c>
      <c r="AV151" t="s">
        <v>98</v>
      </c>
      <c r="AZ151" t="s">
        <v>109</v>
      </c>
      <c r="BF151" t="s">
        <v>601</v>
      </c>
      <c r="BG151" t="s">
        <v>98</v>
      </c>
      <c r="BH151" t="s">
        <v>98</v>
      </c>
      <c r="BI151" t="s">
        <v>98</v>
      </c>
      <c r="BK151" t="s">
        <v>138</v>
      </c>
      <c r="CL151" t="s">
        <v>98</v>
      </c>
      <c r="CM151" t="s">
        <v>98</v>
      </c>
      <c r="CN151" t="s">
        <v>553</v>
      </c>
      <c r="CO151" s="1">
        <v>43284</v>
      </c>
      <c r="CP151" s="1">
        <v>43595</v>
      </c>
    </row>
    <row r="152" spans="1:94" x14ac:dyDescent="0.25">
      <c r="A152" s="4" t="s">
        <v>602</v>
      </c>
      <c r="B152" t="str">
        <f xml:space="preserve"> "" &amp; 706411060984</f>
        <v>706411060984</v>
      </c>
      <c r="C152" t="s">
        <v>603</v>
      </c>
      <c r="D152" t="s">
        <v>604</v>
      </c>
      <c r="F152" t="s">
        <v>551</v>
      </c>
      <c r="G152">
        <v>1</v>
      </c>
      <c r="H152">
        <v>1</v>
      </c>
      <c r="I152" t="s">
        <v>97</v>
      </c>
      <c r="J152" s="32">
        <v>41.95</v>
      </c>
      <c r="K152" s="32">
        <v>125.85</v>
      </c>
      <c r="L152">
        <v>0</v>
      </c>
      <c r="N152">
        <v>0</v>
      </c>
      <c r="S152">
        <v>2</v>
      </c>
      <c r="T152">
        <v>5.63</v>
      </c>
      <c r="U152">
        <v>5.63</v>
      </c>
      <c r="W152">
        <v>0.31</v>
      </c>
      <c r="X152">
        <v>1</v>
      </c>
      <c r="Y152">
        <v>2</v>
      </c>
      <c r="Z152">
        <v>5.63</v>
      </c>
      <c r="AA152">
        <v>5.63</v>
      </c>
      <c r="AB152">
        <v>3.6999999999999998E-2</v>
      </c>
      <c r="AC152">
        <v>0.42</v>
      </c>
      <c r="AK152" t="s">
        <v>98</v>
      </c>
      <c r="AM152" t="s">
        <v>98</v>
      </c>
      <c r="AN152" t="s">
        <v>98</v>
      </c>
      <c r="AO152" t="s">
        <v>98</v>
      </c>
      <c r="AP152" t="s">
        <v>99</v>
      </c>
      <c r="AQ152" t="s">
        <v>102</v>
      </c>
      <c r="AV152" t="s">
        <v>98</v>
      </c>
      <c r="AZ152" t="s">
        <v>109</v>
      </c>
      <c r="BF152" t="s">
        <v>605</v>
      </c>
      <c r="BG152" t="s">
        <v>98</v>
      </c>
      <c r="BH152" t="s">
        <v>98</v>
      </c>
      <c r="BI152" t="s">
        <v>98</v>
      </c>
      <c r="BK152" t="s">
        <v>138</v>
      </c>
      <c r="CL152" t="s">
        <v>98</v>
      </c>
      <c r="CM152" t="s">
        <v>98</v>
      </c>
      <c r="CO152" s="1">
        <v>43381</v>
      </c>
      <c r="CP152" s="1">
        <v>43595</v>
      </c>
    </row>
    <row r="153" spans="1:94" x14ac:dyDescent="0.25">
      <c r="A153" s="4" t="s">
        <v>606</v>
      </c>
      <c r="B153" t="str">
        <f xml:space="preserve"> "" &amp; 706411061622</f>
        <v>706411061622</v>
      </c>
      <c r="C153" t="s">
        <v>607</v>
      </c>
      <c r="D153" t="s">
        <v>607</v>
      </c>
      <c r="F153" t="s">
        <v>551</v>
      </c>
      <c r="G153">
        <v>1</v>
      </c>
      <c r="H153">
        <v>1</v>
      </c>
      <c r="I153" t="s">
        <v>97</v>
      </c>
      <c r="J153" s="32">
        <v>41.95</v>
      </c>
      <c r="K153" s="32">
        <v>125.85</v>
      </c>
      <c r="L153">
        <v>0</v>
      </c>
      <c r="N153">
        <v>0</v>
      </c>
      <c r="S153">
        <v>1.25</v>
      </c>
      <c r="T153">
        <v>4.5</v>
      </c>
      <c r="U153">
        <v>4.25</v>
      </c>
      <c r="W153">
        <v>0.31</v>
      </c>
      <c r="X153">
        <v>1</v>
      </c>
      <c r="Y153">
        <v>2.38</v>
      </c>
      <c r="Z153">
        <v>6.2</v>
      </c>
      <c r="AA153">
        <v>4.63</v>
      </c>
      <c r="AB153">
        <v>0.04</v>
      </c>
      <c r="AC153">
        <v>0.4</v>
      </c>
      <c r="AK153" t="s">
        <v>98</v>
      </c>
      <c r="AM153" t="s">
        <v>98</v>
      </c>
      <c r="AN153" t="s">
        <v>291</v>
      </c>
      <c r="AO153" t="s">
        <v>98</v>
      </c>
      <c r="AP153" t="s">
        <v>99</v>
      </c>
      <c r="AQ153" t="s">
        <v>102</v>
      </c>
      <c r="AV153" t="s">
        <v>98</v>
      </c>
      <c r="AX153" t="s">
        <v>560</v>
      </c>
      <c r="BF153" t="s">
        <v>608</v>
      </c>
      <c r="BG153" t="s">
        <v>98</v>
      </c>
      <c r="BH153" t="s">
        <v>98</v>
      </c>
      <c r="BI153" t="s">
        <v>98</v>
      </c>
      <c r="BK153" t="s">
        <v>138</v>
      </c>
      <c r="CB153" t="s">
        <v>560</v>
      </c>
      <c r="CL153" t="s">
        <v>98</v>
      </c>
      <c r="CM153" t="s">
        <v>98</v>
      </c>
      <c r="CN153" t="s">
        <v>553</v>
      </c>
      <c r="CO153" s="1">
        <v>43423</v>
      </c>
      <c r="CP153" s="1">
        <v>43595</v>
      </c>
    </row>
    <row r="154" spans="1:94" x14ac:dyDescent="0.25">
      <c r="A154" s="4" t="s">
        <v>609</v>
      </c>
      <c r="B154" t="str">
        <f xml:space="preserve"> "" &amp; 706411055997</f>
        <v>706411055997</v>
      </c>
      <c r="C154" t="s">
        <v>581</v>
      </c>
      <c r="D154" t="s">
        <v>610</v>
      </c>
      <c r="F154" t="s">
        <v>551</v>
      </c>
      <c r="G154">
        <v>1</v>
      </c>
      <c r="H154">
        <v>1</v>
      </c>
      <c r="I154" t="s">
        <v>97</v>
      </c>
      <c r="J154" s="32">
        <v>25.95</v>
      </c>
      <c r="K154" s="32">
        <v>77.849999999999994</v>
      </c>
      <c r="L154">
        <v>0</v>
      </c>
      <c r="N154">
        <v>0</v>
      </c>
      <c r="S154">
        <v>3.5</v>
      </c>
      <c r="T154">
        <v>1.1299999999999999</v>
      </c>
      <c r="U154">
        <v>5.63</v>
      </c>
      <c r="W154">
        <v>0.35</v>
      </c>
      <c r="X154">
        <v>1</v>
      </c>
      <c r="Y154">
        <v>1.38</v>
      </c>
      <c r="Z154">
        <v>5.88</v>
      </c>
      <c r="AA154">
        <v>4.13</v>
      </c>
      <c r="AB154">
        <v>1.9E-2</v>
      </c>
      <c r="AC154">
        <v>0.42</v>
      </c>
      <c r="AK154" t="s">
        <v>98</v>
      </c>
      <c r="AM154" t="s">
        <v>98</v>
      </c>
      <c r="AN154" t="s">
        <v>291</v>
      </c>
      <c r="AO154" t="s">
        <v>98</v>
      </c>
      <c r="AP154" t="s">
        <v>99</v>
      </c>
      <c r="AQ154" t="s">
        <v>102</v>
      </c>
      <c r="AV154" t="s">
        <v>98</v>
      </c>
      <c r="AX154" t="s">
        <v>560</v>
      </c>
      <c r="BF154" t="s">
        <v>611</v>
      </c>
      <c r="BG154" t="s">
        <v>98</v>
      </c>
      <c r="BH154" t="s">
        <v>98</v>
      </c>
      <c r="BI154" t="s">
        <v>98</v>
      </c>
      <c r="BK154" t="s">
        <v>138</v>
      </c>
      <c r="CB154" t="s">
        <v>560</v>
      </c>
      <c r="CL154" t="s">
        <v>98</v>
      </c>
      <c r="CM154" t="s">
        <v>98</v>
      </c>
      <c r="CN154" t="s">
        <v>553</v>
      </c>
      <c r="CO154" s="1">
        <v>42558</v>
      </c>
      <c r="CP154" s="1">
        <v>43595</v>
      </c>
    </row>
    <row r="155" spans="1:94" x14ac:dyDescent="0.25">
      <c r="A155" s="4" t="s">
        <v>612</v>
      </c>
      <c r="B155" t="str">
        <f xml:space="preserve"> "" &amp; 706411058042</f>
        <v>706411058042</v>
      </c>
      <c r="C155" t="s">
        <v>581</v>
      </c>
      <c r="D155" t="s">
        <v>613</v>
      </c>
      <c r="F155" t="s">
        <v>551</v>
      </c>
      <c r="G155">
        <v>1</v>
      </c>
      <c r="H155">
        <v>1</v>
      </c>
      <c r="I155" t="s">
        <v>97</v>
      </c>
      <c r="J155" s="32">
        <v>45.95</v>
      </c>
      <c r="K155" s="32">
        <v>137.85</v>
      </c>
      <c r="L155">
        <v>0</v>
      </c>
      <c r="N155">
        <v>0</v>
      </c>
      <c r="S155">
        <v>1.38</v>
      </c>
      <c r="T155">
        <v>5</v>
      </c>
      <c r="U155">
        <v>2.5</v>
      </c>
      <c r="W155">
        <v>0.33</v>
      </c>
      <c r="X155">
        <v>1</v>
      </c>
      <c r="Y155">
        <v>5</v>
      </c>
      <c r="Z155">
        <v>2.75</v>
      </c>
      <c r="AA155">
        <v>2.13</v>
      </c>
      <c r="AB155">
        <v>1.7000000000000001E-2</v>
      </c>
      <c r="AC155">
        <v>0.37</v>
      </c>
      <c r="AK155" t="s">
        <v>98</v>
      </c>
      <c r="AM155" t="s">
        <v>98</v>
      </c>
      <c r="AN155" t="s">
        <v>291</v>
      </c>
      <c r="AO155" t="s">
        <v>98</v>
      </c>
      <c r="AP155" t="s">
        <v>99</v>
      </c>
      <c r="AQ155" t="s">
        <v>102</v>
      </c>
      <c r="AV155" t="s">
        <v>98</v>
      </c>
      <c r="BF155" t="s">
        <v>614</v>
      </c>
      <c r="BG155" t="s">
        <v>98</v>
      </c>
      <c r="BH155" t="s">
        <v>98</v>
      </c>
      <c r="BI155" t="s">
        <v>98</v>
      </c>
      <c r="BK155" t="s">
        <v>138</v>
      </c>
      <c r="CL155" t="s">
        <v>98</v>
      </c>
      <c r="CM155" t="s">
        <v>98</v>
      </c>
      <c r="CO155" s="1">
        <v>43412</v>
      </c>
      <c r="CP155" s="1">
        <v>43595</v>
      </c>
    </row>
    <row r="156" spans="1:94" x14ac:dyDescent="0.25">
      <c r="A156" s="4" t="s">
        <v>615</v>
      </c>
      <c r="B156" t="str">
        <f xml:space="preserve"> "" &amp; 706411058615</f>
        <v>706411058615</v>
      </c>
      <c r="C156" t="s">
        <v>616</v>
      </c>
      <c r="D156" t="s">
        <v>617</v>
      </c>
      <c r="F156" t="s">
        <v>551</v>
      </c>
      <c r="G156">
        <v>1</v>
      </c>
      <c r="H156">
        <v>1</v>
      </c>
      <c r="I156" t="s">
        <v>97</v>
      </c>
      <c r="J156" s="32">
        <v>39.950000000000003</v>
      </c>
      <c r="K156" s="32">
        <v>119.85</v>
      </c>
      <c r="L156">
        <v>0</v>
      </c>
      <c r="N156">
        <v>0</v>
      </c>
      <c r="S156">
        <v>0.63</v>
      </c>
      <c r="T156">
        <v>5.13</v>
      </c>
      <c r="U156">
        <v>4.13</v>
      </c>
      <c r="W156">
        <v>0.2</v>
      </c>
      <c r="X156">
        <v>1</v>
      </c>
      <c r="Y156">
        <v>6.13</v>
      </c>
      <c r="Z156">
        <v>5</v>
      </c>
      <c r="AA156">
        <v>1.5</v>
      </c>
      <c r="AB156">
        <v>2.7E-2</v>
      </c>
      <c r="AC156">
        <v>0.24</v>
      </c>
      <c r="AK156" t="s">
        <v>98</v>
      </c>
      <c r="AM156" t="s">
        <v>98</v>
      </c>
      <c r="AN156" t="s">
        <v>291</v>
      </c>
      <c r="AO156" t="s">
        <v>98</v>
      </c>
      <c r="AP156" t="s">
        <v>99</v>
      </c>
      <c r="AQ156" t="s">
        <v>102</v>
      </c>
      <c r="AV156" t="s">
        <v>98</v>
      </c>
      <c r="AX156" t="s">
        <v>560</v>
      </c>
      <c r="BF156" t="s">
        <v>618</v>
      </c>
      <c r="BG156" t="s">
        <v>98</v>
      </c>
      <c r="BH156" t="s">
        <v>98</v>
      </c>
      <c r="BI156" t="s">
        <v>98</v>
      </c>
      <c r="BJ156" t="s">
        <v>291</v>
      </c>
      <c r="BK156" t="s">
        <v>292</v>
      </c>
      <c r="CB156" t="s">
        <v>560</v>
      </c>
      <c r="CL156" t="s">
        <v>98</v>
      </c>
      <c r="CM156" t="s">
        <v>98</v>
      </c>
      <c r="CN156" t="s">
        <v>553</v>
      </c>
      <c r="CO156" s="1">
        <v>43518</v>
      </c>
      <c r="CP156" s="1">
        <v>43595</v>
      </c>
    </row>
    <row r="157" spans="1:94" x14ac:dyDescent="0.25">
      <c r="A157" s="4" t="s">
        <v>619</v>
      </c>
      <c r="B157" t="str">
        <f xml:space="preserve"> "" &amp; 706411058622</f>
        <v>706411058622</v>
      </c>
      <c r="C157" t="s">
        <v>620</v>
      </c>
      <c r="D157" t="s">
        <v>621</v>
      </c>
      <c r="F157" t="s">
        <v>551</v>
      </c>
      <c r="G157">
        <v>1</v>
      </c>
      <c r="H157">
        <v>1</v>
      </c>
      <c r="I157" t="s">
        <v>97</v>
      </c>
      <c r="J157" s="32">
        <v>39.950000000000003</v>
      </c>
      <c r="K157" s="32">
        <v>119.85</v>
      </c>
      <c r="L157">
        <v>0</v>
      </c>
      <c r="N157">
        <v>0</v>
      </c>
      <c r="S157">
        <v>0.63</v>
      </c>
      <c r="T157">
        <v>5.13</v>
      </c>
      <c r="U157">
        <v>4.13</v>
      </c>
      <c r="W157">
        <v>0.2</v>
      </c>
      <c r="X157">
        <v>1</v>
      </c>
      <c r="Y157">
        <v>6.13</v>
      </c>
      <c r="Z157">
        <v>5</v>
      </c>
      <c r="AA157">
        <v>1.5</v>
      </c>
      <c r="AB157">
        <v>2.7E-2</v>
      </c>
      <c r="AC157">
        <v>0.24</v>
      </c>
      <c r="AK157" t="s">
        <v>98</v>
      </c>
      <c r="AM157" t="s">
        <v>98</v>
      </c>
      <c r="AN157" t="s">
        <v>291</v>
      </c>
      <c r="AO157" t="s">
        <v>98</v>
      </c>
      <c r="AP157" t="s">
        <v>99</v>
      </c>
      <c r="AQ157" t="s">
        <v>102</v>
      </c>
      <c r="AV157" t="s">
        <v>98</v>
      </c>
      <c r="AX157" t="s">
        <v>560</v>
      </c>
      <c r="BF157" t="s">
        <v>622</v>
      </c>
      <c r="BG157" t="s">
        <v>98</v>
      </c>
      <c r="BH157" t="s">
        <v>98</v>
      </c>
      <c r="BI157" t="s">
        <v>98</v>
      </c>
      <c r="BJ157" t="s">
        <v>291</v>
      </c>
      <c r="BK157" t="s">
        <v>292</v>
      </c>
      <c r="CB157" t="s">
        <v>560</v>
      </c>
      <c r="CL157" t="s">
        <v>98</v>
      </c>
      <c r="CM157" t="s">
        <v>98</v>
      </c>
      <c r="CN157" t="s">
        <v>553</v>
      </c>
      <c r="CO157" s="1">
        <v>43518</v>
      </c>
      <c r="CP157" s="1">
        <v>43595</v>
      </c>
    </row>
    <row r="158" spans="1:94" x14ac:dyDescent="0.25">
      <c r="A158" s="4" t="s">
        <v>623</v>
      </c>
      <c r="B158" t="str">
        <f xml:space="preserve"> "" &amp; 706411001390</f>
        <v>706411001390</v>
      </c>
      <c r="C158" t="s">
        <v>624</v>
      </c>
      <c r="D158" t="s">
        <v>625</v>
      </c>
      <c r="F158" t="s">
        <v>135</v>
      </c>
      <c r="G158">
        <v>1</v>
      </c>
      <c r="H158">
        <v>1</v>
      </c>
      <c r="I158" t="s">
        <v>97</v>
      </c>
      <c r="J158" s="32">
        <v>19.5</v>
      </c>
      <c r="K158" s="32">
        <v>58.5</v>
      </c>
      <c r="L158">
        <v>0</v>
      </c>
      <c r="N158">
        <v>0</v>
      </c>
      <c r="S158">
        <v>1.88</v>
      </c>
      <c r="T158">
        <v>6</v>
      </c>
      <c r="U158">
        <v>3</v>
      </c>
      <c r="W158">
        <v>0.50600000000000001</v>
      </c>
      <c r="X158">
        <v>1</v>
      </c>
      <c r="Y158">
        <v>1.88</v>
      </c>
      <c r="Z158">
        <v>6</v>
      </c>
      <c r="AA158">
        <v>3</v>
      </c>
      <c r="AB158">
        <v>0.02</v>
      </c>
      <c r="AC158">
        <v>0.55000000000000004</v>
      </c>
      <c r="AK158" t="s">
        <v>98</v>
      </c>
      <c r="AM158" t="s">
        <v>98</v>
      </c>
      <c r="AN158" t="s">
        <v>98</v>
      </c>
      <c r="AO158" t="s">
        <v>98</v>
      </c>
      <c r="AP158" t="s">
        <v>99</v>
      </c>
      <c r="AQ158" t="s">
        <v>102</v>
      </c>
      <c r="AV158" t="s">
        <v>98</v>
      </c>
      <c r="AX158" t="s">
        <v>150</v>
      </c>
      <c r="BF158" t="s">
        <v>626</v>
      </c>
      <c r="BG158" t="s">
        <v>98</v>
      </c>
      <c r="BH158" t="s">
        <v>98</v>
      </c>
      <c r="BI158" t="s">
        <v>98</v>
      </c>
      <c r="BK158" t="s">
        <v>138</v>
      </c>
      <c r="CA158" t="s">
        <v>627</v>
      </c>
      <c r="CB158" t="s">
        <v>150</v>
      </c>
      <c r="CL158" t="s">
        <v>98</v>
      </c>
      <c r="CM158" t="s">
        <v>98</v>
      </c>
      <c r="CO158" s="1">
        <v>38950</v>
      </c>
      <c r="CP158" s="1">
        <v>43595</v>
      </c>
    </row>
    <row r="159" spans="1:94" x14ac:dyDescent="0.25">
      <c r="A159" s="4" t="s">
        <v>628</v>
      </c>
      <c r="B159" t="str">
        <f xml:space="preserve"> "" &amp; 706411009600</f>
        <v>706411009600</v>
      </c>
      <c r="C159" t="s">
        <v>624</v>
      </c>
      <c r="D159" t="s">
        <v>629</v>
      </c>
      <c r="F159" t="s">
        <v>135</v>
      </c>
      <c r="G159">
        <v>1</v>
      </c>
      <c r="H159">
        <v>1</v>
      </c>
      <c r="I159" t="s">
        <v>97</v>
      </c>
      <c r="J159" s="32">
        <v>17.5</v>
      </c>
      <c r="K159" s="32">
        <v>52.5</v>
      </c>
      <c r="L159">
        <v>0</v>
      </c>
      <c r="N159">
        <v>0</v>
      </c>
      <c r="S159">
        <v>1.88</v>
      </c>
      <c r="T159">
        <v>6</v>
      </c>
      <c r="U159">
        <v>3</v>
      </c>
      <c r="W159">
        <v>0.50600000000000001</v>
      </c>
      <c r="X159">
        <v>1</v>
      </c>
      <c r="Y159">
        <v>1.88</v>
      </c>
      <c r="Z159">
        <v>6</v>
      </c>
      <c r="AA159">
        <v>3</v>
      </c>
      <c r="AB159">
        <v>0.02</v>
      </c>
      <c r="AC159">
        <v>0.55000000000000004</v>
      </c>
      <c r="AK159" t="s">
        <v>98</v>
      </c>
      <c r="AM159" t="s">
        <v>98</v>
      </c>
      <c r="AN159" t="s">
        <v>98</v>
      </c>
      <c r="AO159" t="s">
        <v>98</v>
      </c>
      <c r="AP159" t="s">
        <v>99</v>
      </c>
      <c r="AQ159" t="s">
        <v>102</v>
      </c>
      <c r="AV159" t="s">
        <v>98</v>
      </c>
      <c r="AX159" t="s">
        <v>630</v>
      </c>
      <c r="BF159" t="s">
        <v>631</v>
      </c>
      <c r="BG159" t="s">
        <v>98</v>
      </c>
      <c r="BH159" t="s">
        <v>98</v>
      </c>
      <c r="BI159" t="s">
        <v>98</v>
      </c>
      <c r="BK159" t="s">
        <v>138</v>
      </c>
      <c r="CA159" t="s">
        <v>627</v>
      </c>
      <c r="CB159" t="s">
        <v>630</v>
      </c>
      <c r="CL159" t="s">
        <v>98</v>
      </c>
      <c r="CM159" t="s">
        <v>98</v>
      </c>
      <c r="CO159" s="1">
        <v>38950</v>
      </c>
      <c r="CP159" s="1">
        <v>43595</v>
      </c>
    </row>
    <row r="160" spans="1:94" x14ac:dyDescent="0.25">
      <c r="A160" s="4" t="s">
        <v>632</v>
      </c>
      <c r="B160" t="str">
        <f xml:space="preserve"> "" &amp; 706411001413</f>
        <v>706411001413</v>
      </c>
      <c r="C160" t="s">
        <v>624</v>
      </c>
      <c r="D160" t="s">
        <v>633</v>
      </c>
      <c r="F160" t="s">
        <v>135</v>
      </c>
      <c r="G160">
        <v>1</v>
      </c>
      <c r="H160">
        <v>1</v>
      </c>
      <c r="I160" t="s">
        <v>97</v>
      </c>
      <c r="J160" s="32">
        <v>15.95</v>
      </c>
      <c r="K160" s="32">
        <v>47.85</v>
      </c>
      <c r="L160">
        <v>0</v>
      </c>
      <c r="N160">
        <v>0</v>
      </c>
      <c r="S160">
        <v>1.88</v>
      </c>
      <c r="T160">
        <v>6</v>
      </c>
      <c r="U160">
        <v>3</v>
      </c>
      <c r="W160">
        <v>0.50600000000000001</v>
      </c>
      <c r="X160">
        <v>1</v>
      </c>
      <c r="Y160">
        <v>1.88</v>
      </c>
      <c r="Z160">
        <v>6</v>
      </c>
      <c r="AA160">
        <v>3</v>
      </c>
      <c r="AB160">
        <v>0.02</v>
      </c>
      <c r="AC160">
        <v>0.55000000000000004</v>
      </c>
      <c r="AK160" t="s">
        <v>98</v>
      </c>
      <c r="AM160" t="s">
        <v>98</v>
      </c>
      <c r="AN160" t="s">
        <v>98</v>
      </c>
      <c r="AO160" t="s">
        <v>98</v>
      </c>
      <c r="AP160" t="s">
        <v>99</v>
      </c>
      <c r="AQ160" t="s">
        <v>102</v>
      </c>
      <c r="AV160" t="s">
        <v>98</v>
      </c>
      <c r="AX160" t="s">
        <v>302</v>
      </c>
      <c r="BF160" t="s">
        <v>634</v>
      </c>
      <c r="BG160" t="s">
        <v>98</v>
      </c>
      <c r="BH160" t="s">
        <v>98</v>
      </c>
      <c r="BI160" t="s">
        <v>98</v>
      </c>
      <c r="BK160" t="s">
        <v>138</v>
      </c>
      <c r="CA160" t="s">
        <v>627</v>
      </c>
      <c r="CB160" t="s">
        <v>302</v>
      </c>
      <c r="CL160" t="s">
        <v>98</v>
      </c>
      <c r="CM160" t="s">
        <v>98</v>
      </c>
      <c r="CO160" s="1">
        <v>38950</v>
      </c>
      <c r="CP160" s="1">
        <v>43595</v>
      </c>
    </row>
    <row r="161" spans="1:94" x14ac:dyDescent="0.25">
      <c r="A161" s="4" t="s">
        <v>635</v>
      </c>
      <c r="B161" t="str">
        <f xml:space="preserve"> "" &amp; 706411300455</f>
        <v>706411300455</v>
      </c>
      <c r="C161" t="s">
        <v>624</v>
      </c>
      <c r="D161" t="s">
        <v>636</v>
      </c>
      <c r="F161" t="s">
        <v>135</v>
      </c>
      <c r="G161">
        <v>1</v>
      </c>
      <c r="H161">
        <v>1</v>
      </c>
      <c r="I161" t="s">
        <v>97</v>
      </c>
      <c r="J161" s="32">
        <v>26.95</v>
      </c>
      <c r="K161" s="32">
        <v>80.849999999999994</v>
      </c>
      <c r="L161">
        <v>0</v>
      </c>
      <c r="N161">
        <v>0</v>
      </c>
      <c r="S161">
        <v>2</v>
      </c>
      <c r="T161">
        <v>17.38</v>
      </c>
      <c r="U161">
        <v>6.38</v>
      </c>
      <c r="W161">
        <v>1.573</v>
      </c>
      <c r="X161">
        <v>1</v>
      </c>
      <c r="Y161">
        <v>2</v>
      </c>
      <c r="Z161">
        <v>17.38</v>
      </c>
      <c r="AA161">
        <v>6.38</v>
      </c>
      <c r="AB161">
        <v>0.128</v>
      </c>
      <c r="AC161">
        <v>1.98</v>
      </c>
      <c r="AK161" t="s">
        <v>98</v>
      </c>
      <c r="AM161" t="s">
        <v>98</v>
      </c>
      <c r="AN161" t="s">
        <v>98</v>
      </c>
      <c r="AO161" t="s">
        <v>98</v>
      </c>
      <c r="AP161" t="s">
        <v>99</v>
      </c>
      <c r="AQ161" t="s">
        <v>102</v>
      </c>
      <c r="AV161" t="s">
        <v>98</v>
      </c>
      <c r="AX161" t="s">
        <v>150</v>
      </c>
      <c r="BF161" t="s">
        <v>637</v>
      </c>
      <c r="BG161" t="s">
        <v>98</v>
      </c>
      <c r="BH161" t="s">
        <v>98</v>
      </c>
      <c r="BI161" t="s">
        <v>98</v>
      </c>
      <c r="BK161" t="s">
        <v>138</v>
      </c>
      <c r="CA161" t="s">
        <v>638</v>
      </c>
      <c r="CB161" t="s">
        <v>150</v>
      </c>
      <c r="CL161" t="s">
        <v>98</v>
      </c>
      <c r="CM161" t="s">
        <v>98</v>
      </c>
      <c r="CO161" s="1">
        <v>38950</v>
      </c>
      <c r="CP161" s="1">
        <v>43595</v>
      </c>
    </row>
    <row r="162" spans="1:94" x14ac:dyDescent="0.25">
      <c r="A162" s="4" t="s">
        <v>639</v>
      </c>
      <c r="B162" t="str">
        <f xml:space="preserve"> "" &amp; 706411009617</f>
        <v>706411009617</v>
      </c>
      <c r="C162" t="s">
        <v>624</v>
      </c>
      <c r="D162" t="s">
        <v>640</v>
      </c>
      <c r="F162" t="s">
        <v>135</v>
      </c>
      <c r="G162">
        <v>1</v>
      </c>
      <c r="H162">
        <v>1</v>
      </c>
      <c r="I162" t="s">
        <v>97</v>
      </c>
      <c r="J162" s="32">
        <v>23.95</v>
      </c>
      <c r="K162" s="32">
        <v>71.849999999999994</v>
      </c>
      <c r="L162">
        <v>0</v>
      </c>
      <c r="N162">
        <v>0</v>
      </c>
      <c r="S162">
        <v>2</v>
      </c>
      <c r="T162">
        <v>17.38</v>
      </c>
      <c r="U162">
        <v>6.38</v>
      </c>
      <c r="W162">
        <v>1.573</v>
      </c>
      <c r="X162">
        <v>1</v>
      </c>
      <c r="Y162">
        <v>2</v>
      </c>
      <c r="Z162">
        <v>17.38</v>
      </c>
      <c r="AA162">
        <v>6.38</v>
      </c>
      <c r="AB162">
        <v>0.128</v>
      </c>
      <c r="AC162">
        <v>1.98</v>
      </c>
      <c r="AK162" t="s">
        <v>98</v>
      </c>
      <c r="AM162" t="s">
        <v>98</v>
      </c>
      <c r="AN162" t="s">
        <v>98</v>
      </c>
      <c r="AO162" t="s">
        <v>98</v>
      </c>
      <c r="AP162" t="s">
        <v>99</v>
      </c>
      <c r="AQ162" t="s">
        <v>102</v>
      </c>
      <c r="AV162" t="s">
        <v>98</v>
      </c>
      <c r="AX162" t="s">
        <v>630</v>
      </c>
      <c r="BF162" t="s">
        <v>641</v>
      </c>
      <c r="BG162" t="s">
        <v>98</v>
      </c>
      <c r="BH162" t="s">
        <v>98</v>
      </c>
      <c r="BI162" t="s">
        <v>98</v>
      </c>
      <c r="BK162" t="s">
        <v>138</v>
      </c>
      <c r="CA162" t="s">
        <v>638</v>
      </c>
      <c r="CB162" t="s">
        <v>630</v>
      </c>
      <c r="CL162" t="s">
        <v>98</v>
      </c>
      <c r="CM162" t="s">
        <v>98</v>
      </c>
      <c r="CO162" s="1">
        <v>38950</v>
      </c>
      <c r="CP162" s="1">
        <v>43595</v>
      </c>
    </row>
    <row r="163" spans="1:94" x14ac:dyDescent="0.25">
      <c r="A163" s="4" t="s">
        <v>642</v>
      </c>
      <c r="B163" t="str">
        <f xml:space="preserve"> "" &amp; 706411001437</f>
        <v>706411001437</v>
      </c>
      <c r="C163" t="s">
        <v>624</v>
      </c>
      <c r="D163" t="s">
        <v>643</v>
      </c>
      <c r="F163" t="s">
        <v>135</v>
      </c>
      <c r="G163">
        <v>1</v>
      </c>
      <c r="H163">
        <v>1</v>
      </c>
      <c r="I163" t="s">
        <v>97</v>
      </c>
      <c r="J163" s="32">
        <v>21.95</v>
      </c>
      <c r="K163" s="32">
        <v>65.849999999999994</v>
      </c>
      <c r="L163">
        <v>0</v>
      </c>
      <c r="N163">
        <v>0</v>
      </c>
      <c r="S163">
        <v>2</v>
      </c>
      <c r="T163">
        <v>17.38</v>
      </c>
      <c r="U163">
        <v>6.38</v>
      </c>
      <c r="W163">
        <v>1.573</v>
      </c>
      <c r="X163">
        <v>1</v>
      </c>
      <c r="Y163">
        <v>2</v>
      </c>
      <c r="Z163">
        <v>17.38</v>
      </c>
      <c r="AA163">
        <v>6.38</v>
      </c>
      <c r="AB163">
        <v>0.128</v>
      </c>
      <c r="AC163">
        <v>1.98</v>
      </c>
      <c r="AK163" t="s">
        <v>98</v>
      </c>
      <c r="AM163" t="s">
        <v>98</v>
      </c>
      <c r="AN163" t="s">
        <v>98</v>
      </c>
      <c r="AO163" t="s">
        <v>98</v>
      </c>
      <c r="AP163" t="s">
        <v>99</v>
      </c>
      <c r="AQ163" t="s">
        <v>102</v>
      </c>
      <c r="AV163" t="s">
        <v>98</v>
      </c>
      <c r="AX163" t="s">
        <v>302</v>
      </c>
      <c r="BF163" t="s">
        <v>644</v>
      </c>
      <c r="BG163" t="s">
        <v>98</v>
      </c>
      <c r="BH163" t="s">
        <v>98</v>
      </c>
      <c r="BI163" t="s">
        <v>98</v>
      </c>
      <c r="BK163" t="s">
        <v>138</v>
      </c>
      <c r="CA163" t="s">
        <v>638</v>
      </c>
      <c r="CB163" t="s">
        <v>302</v>
      </c>
      <c r="CL163" t="s">
        <v>98</v>
      </c>
      <c r="CM163" t="s">
        <v>98</v>
      </c>
      <c r="CO163" s="1">
        <v>38950</v>
      </c>
      <c r="CP163" s="1">
        <v>43595</v>
      </c>
    </row>
    <row r="164" spans="1:94" x14ac:dyDescent="0.25">
      <c r="A164" s="4" t="s">
        <v>645</v>
      </c>
      <c r="B164" t="str">
        <f xml:space="preserve"> "" &amp; 706411300462</f>
        <v>706411300462</v>
      </c>
      <c r="C164" t="s">
        <v>624</v>
      </c>
      <c r="D164" t="s">
        <v>646</v>
      </c>
      <c r="F164" t="s">
        <v>135</v>
      </c>
      <c r="G164">
        <v>1</v>
      </c>
      <c r="H164">
        <v>1</v>
      </c>
      <c r="I164" t="s">
        <v>97</v>
      </c>
      <c r="J164" s="32">
        <v>54.95</v>
      </c>
      <c r="K164" s="32">
        <v>164.85</v>
      </c>
      <c r="L164">
        <v>0</v>
      </c>
      <c r="N164">
        <v>0</v>
      </c>
      <c r="W164">
        <v>4.7670000000000003</v>
      </c>
      <c r="X164">
        <v>1</v>
      </c>
      <c r="Y164">
        <v>0</v>
      </c>
      <c r="Z164">
        <v>36.25</v>
      </c>
      <c r="AA164">
        <v>14.38</v>
      </c>
      <c r="AB164">
        <v>2.41</v>
      </c>
      <c r="AC164">
        <v>5.5</v>
      </c>
      <c r="AK164" t="s">
        <v>98</v>
      </c>
      <c r="AM164" t="s">
        <v>98</v>
      </c>
      <c r="AN164" t="s">
        <v>98</v>
      </c>
      <c r="AO164" t="s">
        <v>98</v>
      </c>
      <c r="AP164" t="s">
        <v>99</v>
      </c>
      <c r="AQ164" t="s">
        <v>102</v>
      </c>
      <c r="AV164" t="s">
        <v>98</v>
      </c>
      <c r="AX164" t="s">
        <v>150</v>
      </c>
      <c r="BF164" t="s">
        <v>647</v>
      </c>
      <c r="BG164" t="s">
        <v>98</v>
      </c>
      <c r="BH164" t="s">
        <v>98</v>
      </c>
      <c r="BI164" t="s">
        <v>98</v>
      </c>
      <c r="BK164" t="s">
        <v>138</v>
      </c>
      <c r="CA164" t="s">
        <v>648</v>
      </c>
      <c r="CB164" t="s">
        <v>150</v>
      </c>
      <c r="CL164" t="s">
        <v>98</v>
      </c>
      <c r="CM164" t="s">
        <v>98</v>
      </c>
      <c r="CO164" s="1">
        <v>38950</v>
      </c>
      <c r="CP164" s="1">
        <v>43595</v>
      </c>
    </row>
    <row r="165" spans="1:94" x14ac:dyDescent="0.25">
      <c r="A165" s="4" t="s">
        <v>649</v>
      </c>
      <c r="B165" t="str">
        <f xml:space="preserve"> "" &amp; 706411009624</f>
        <v>706411009624</v>
      </c>
      <c r="C165" t="s">
        <v>624</v>
      </c>
      <c r="D165" t="s">
        <v>650</v>
      </c>
      <c r="F165" t="s">
        <v>135</v>
      </c>
      <c r="G165">
        <v>1</v>
      </c>
      <c r="H165">
        <v>1</v>
      </c>
      <c r="I165" t="s">
        <v>97</v>
      </c>
      <c r="J165" s="32">
        <v>49.95</v>
      </c>
      <c r="K165" s="32">
        <v>149.85</v>
      </c>
      <c r="L165">
        <v>0</v>
      </c>
      <c r="N165">
        <v>0</v>
      </c>
      <c r="W165">
        <v>4.7670000000000003</v>
      </c>
      <c r="X165">
        <v>1</v>
      </c>
      <c r="Y165">
        <v>0</v>
      </c>
      <c r="Z165">
        <v>36.25</v>
      </c>
      <c r="AA165">
        <v>14.38</v>
      </c>
      <c r="AB165">
        <v>2.41</v>
      </c>
      <c r="AC165">
        <v>5.5</v>
      </c>
      <c r="AK165" t="s">
        <v>98</v>
      </c>
      <c r="AM165" t="s">
        <v>98</v>
      </c>
      <c r="AN165" t="s">
        <v>98</v>
      </c>
      <c r="AO165" t="s">
        <v>98</v>
      </c>
      <c r="AP165" t="s">
        <v>99</v>
      </c>
      <c r="AQ165" t="s">
        <v>102</v>
      </c>
      <c r="AV165" t="s">
        <v>98</v>
      </c>
      <c r="AX165" t="s">
        <v>630</v>
      </c>
      <c r="BF165" t="s">
        <v>651</v>
      </c>
      <c r="BG165" t="s">
        <v>98</v>
      </c>
      <c r="BH165" t="s">
        <v>98</v>
      </c>
      <c r="BI165" t="s">
        <v>98</v>
      </c>
      <c r="BK165" t="s">
        <v>138</v>
      </c>
      <c r="CA165" t="s">
        <v>648</v>
      </c>
      <c r="CB165" t="s">
        <v>630</v>
      </c>
      <c r="CL165" t="s">
        <v>98</v>
      </c>
      <c r="CM165" t="s">
        <v>98</v>
      </c>
      <c r="CO165" s="1">
        <v>38950</v>
      </c>
      <c r="CP165" s="1">
        <v>43595</v>
      </c>
    </row>
    <row r="166" spans="1:94" x14ac:dyDescent="0.25">
      <c r="A166" s="4" t="s">
        <v>652</v>
      </c>
      <c r="B166" t="str">
        <f xml:space="preserve"> "" &amp; 706411001451</f>
        <v>706411001451</v>
      </c>
      <c r="C166" t="s">
        <v>624</v>
      </c>
      <c r="D166" t="s">
        <v>653</v>
      </c>
      <c r="F166" t="s">
        <v>135</v>
      </c>
      <c r="G166">
        <v>1</v>
      </c>
      <c r="H166">
        <v>1</v>
      </c>
      <c r="I166" t="s">
        <v>97</v>
      </c>
      <c r="J166" s="32">
        <v>34.950000000000003</v>
      </c>
      <c r="K166" s="32">
        <v>104.85</v>
      </c>
      <c r="L166">
        <v>0</v>
      </c>
      <c r="N166">
        <v>0</v>
      </c>
      <c r="W166">
        <v>4.7670000000000003</v>
      </c>
      <c r="X166">
        <v>1</v>
      </c>
      <c r="Y166">
        <v>0</v>
      </c>
      <c r="Z166">
        <v>36.25</v>
      </c>
      <c r="AA166">
        <v>14.38</v>
      </c>
      <c r="AB166">
        <v>2.41</v>
      </c>
      <c r="AC166">
        <v>5.5</v>
      </c>
      <c r="AK166" t="s">
        <v>98</v>
      </c>
      <c r="AM166" t="s">
        <v>98</v>
      </c>
      <c r="AN166" t="s">
        <v>98</v>
      </c>
      <c r="AO166" t="s">
        <v>98</v>
      </c>
      <c r="AP166" t="s">
        <v>99</v>
      </c>
      <c r="AQ166" t="s">
        <v>102</v>
      </c>
      <c r="AV166" t="s">
        <v>98</v>
      </c>
      <c r="AX166" t="s">
        <v>302</v>
      </c>
      <c r="BF166" t="s">
        <v>654</v>
      </c>
      <c r="BG166" t="s">
        <v>98</v>
      </c>
      <c r="BH166" t="s">
        <v>98</v>
      </c>
      <c r="BI166" t="s">
        <v>98</v>
      </c>
      <c r="BK166" t="s">
        <v>138</v>
      </c>
      <c r="CA166" t="s">
        <v>648</v>
      </c>
      <c r="CB166" t="s">
        <v>302</v>
      </c>
      <c r="CL166" t="s">
        <v>98</v>
      </c>
      <c r="CM166" t="s">
        <v>98</v>
      </c>
      <c r="CO166" s="1">
        <v>38950</v>
      </c>
      <c r="CP166" s="1">
        <v>43595</v>
      </c>
    </row>
    <row r="167" spans="1:94" x14ac:dyDescent="0.25">
      <c r="A167" s="4" t="s">
        <v>655</v>
      </c>
      <c r="B167" t="str">
        <f xml:space="preserve"> "" &amp; 706411300479</f>
        <v>706411300479</v>
      </c>
      <c r="C167" t="s">
        <v>624</v>
      </c>
      <c r="D167" t="s">
        <v>656</v>
      </c>
      <c r="F167" t="s">
        <v>135</v>
      </c>
      <c r="G167">
        <v>1</v>
      </c>
      <c r="H167">
        <v>1</v>
      </c>
      <c r="I167" t="s">
        <v>97</v>
      </c>
      <c r="J167" s="32">
        <v>79.95</v>
      </c>
      <c r="K167" s="32">
        <v>239.85</v>
      </c>
      <c r="L167">
        <v>0</v>
      </c>
      <c r="N167">
        <v>0</v>
      </c>
      <c r="W167">
        <v>6.6</v>
      </c>
      <c r="X167">
        <v>1</v>
      </c>
      <c r="Y167">
        <v>0</v>
      </c>
      <c r="Z167">
        <v>42.5</v>
      </c>
      <c r="AA167">
        <v>7.5</v>
      </c>
      <c r="AB167">
        <v>1.52</v>
      </c>
      <c r="AC167">
        <v>8.4329999999999998</v>
      </c>
      <c r="AK167" t="s">
        <v>98</v>
      </c>
      <c r="AM167" t="s">
        <v>98</v>
      </c>
      <c r="AN167" t="s">
        <v>98</v>
      </c>
      <c r="AO167" t="s">
        <v>98</v>
      </c>
      <c r="AP167" t="s">
        <v>99</v>
      </c>
      <c r="AQ167" t="s">
        <v>102</v>
      </c>
      <c r="AV167" t="s">
        <v>98</v>
      </c>
      <c r="AX167" t="s">
        <v>150</v>
      </c>
      <c r="BF167" t="s">
        <v>657</v>
      </c>
      <c r="BG167" t="s">
        <v>98</v>
      </c>
      <c r="BH167" t="s">
        <v>98</v>
      </c>
      <c r="BI167" t="s">
        <v>98</v>
      </c>
      <c r="BK167" t="s">
        <v>138</v>
      </c>
      <c r="CA167" t="s">
        <v>658</v>
      </c>
      <c r="CB167" t="s">
        <v>150</v>
      </c>
      <c r="CL167" t="s">
        <v>98</v>
      </c>
      <c r="CM167" t="s">
        <v>98</v>
      </c>
      <c r="CO167" s="1">
        <v>38950</v>
      </c>
      <c r="CP167" s="1">
        <v>43595</v>
      </c>
    </row>
    <row r="168" spans="1:94" x14ac:dyDescent="0.25">
      <c r="A168" s="4" t="s">
        <v>659</v>
      </c>
      <c r="B168" t="str">
        <f xml:space="preserve"> "" &amp; 706411009631</f>
        <v>706411009631</v>
      </c>
      <c r="C168" t="s">
        <v>624</v>
      </c>
      <c r="D168" t="s">
        <v>660</v>
      </c>
      <c r="F168" t="s">
        <v>135</v>
      </c>
      <c r="G168">
        <v>1</v>
      </c>
      <c r="H168">
        <v>1</v>
      </c>
      <c r="I168" t="s">
        <v>97</v>
      </c>
      <c r="J168" s="32">
        <v>74.95</v>
      </c>
      <c r="K168" s="32">
        <v>224.85</v>
      </c>
      <c r="L168">
        <v>0</v>
      </c>
      <c r="N168">
        <v>0</v>
      </c>
      <c r="W168">
        <v>6.6</v>
      </c>
      <c r="X168">
        <v>1</v>
      </c>
      <c r="Y168">
        <v>0</v>
      </c>
      <c r="Z168">
        <v>42.5</v>
      </c>
      <c r="AA168">
        <v>7.5</v>
      </c>
      <c r="AB168">
        <v>1.52</v>
      </c>
      <c r="AC168">
        <v>8.4329999999999998</v>
      </c>
      <c r="AK168" t="s">
        <v>98</v>
      </c>
      <c r="AM168" t="s">
        <v>98</v>
      </c>
      <c r="AN168" t="s">
        <v>98</v>
      </c>
      <c r="AO168" t="s">
        <v>98</v>
      </c>
      <c r="AP168" t="s">
        <v>99</v>
      </c>
      <c r="AQ168" t="s">
        <v>102</v>
      </c>
      <c r="AV168" t="s">
        <v>98</v>
      </c>
      <c r="AX168" t="s">
        <v>630</v>
      </c>
      <c r="BF168" t="s">
        <v>661</v>
      </c>
      <c r="BG168" t="s">
        <v>98</v>
      </c>
      <c r="BH168" t="s">
        <v>98</v>
      </c>
      <c r="BI168" t="s">
        <v>98</v>
      </c>
      <c r="BK168" t="s">
        <v>138</v>
      </c>
      <c r="CA168" t="s">
        <v>658</v>
      </c>
      <c r="CB168" t="s">
        <v>630</v>
      </c>
      <c r="CL168" t="s">
        <v>98</v>
      </c>
      <c r="CM168" t="s">
        <v>98</v>
      </c>
      <c r="CO168" s="1">
        <v>38950</v>
      </c>
      <c r="CP168" s="1">
        <v>43595</v>
      </c>
    </row>
    <row r="169" spans="1:94" x14ac:dyDescent="0.25">
      <c r="A169" s="4" t="s">
        <v>662</v>
      </c>
      <c r="B169" t="str">
        <f xml:space="preserve"> "" &amp; 706411001475</f>
        <v>706411001475</v>
      </c>
      <c r="C169" t="s">
        <v>624</v>
      </c>
      <c r="D169" t="s">
        <v>663</v>
      </c>
      <c r="F169" t="s">
        <v>135</v>
      </c>
      <c r="G169">
        <v>1</v>
      </c>
      <c r="H169">
        <v>1</v>
      </c>
      <c r="I169" t="s">
        <v>97</v>
      </c>
      <c r="J169" s="32">
        <v>44.95</v>
      </c>
      <c r="K169" s="32">
        <v>134.85</v>
      </c>
      <c r="L169">
        <v>0</v>
      </c>
      <c r="N169">
        <v>0</v>
      </c>
      <c r="W169">
        <v>6.6</v>
      </c>
      <c r="X169">
        <v>1</v>
      </c>
      <c r="Y169">
        <v>0</v>
      </c>
      <c r="Z169">
        <v>42.5</v>
      </c>
      <c r="AA169">
        <v>7.5</v>
      </c>
      <c r="AB169">
        <v>1.52</v>
      </c>
      <c r="AC169">
        <v>8.4329999999999998</v>
      </c>
      <c r="AK169" t="s">
        <v>98</v>
      </c>
      <c r="AM169" t="s">
        <v>98</v>
      </c>
      <c r="AN169" t="s">
        <v>98</v>
      </c>
      <c r="AO169" t="s">
        <v>98</v>
      </c>
      <c r="AP169" t="s">
        <v>99</v>
      </c>
      <c r="AQ169" t="s">
        <v>102</v>
      </c>
      <c r="AV169" t="s">
        <v>98</v>
      </c>
      <c r="AX169" t="s">
        <v>302</v>
      </c>
      <c r="BF169" t="s">
        <v>664</v>
      </c>
      <c r="BG169" t="s">
        <v>98</v>
      </c>
      <c r="BH169" t="s">
        <v>98</v>
      </c>
      <c r="BI169" t="s">
        <v>98</v>
      </c>
      <c r="BK169" t="s">
        <v>138</v>
      </c>
      <c r="CA169" t="s">
        <v>658</v>
      </c>
      <c r="CB169" t="s">
        <v>302</v>
      </c>
      <c r="CL169" t="s">
        <v>98</v>
      </c>
      <c r="CM169" t="s">
        <v>98</v>
      </c>
      <c r="CO169" s="1">
        <v>38950</v>
      </c>
      <c r="CP169" s="1">
        <v>43595</v>
      </c>
    </row>
    <row r="170" spans="1:94" x14ac:dyDescent="0.25">
      <c r="A170" s="4" t="s">
        <v>665</v>
      </c>
      <c r="B170" t="str">
        <f xml:space="preserve"> "" &amp; 706411300486</f>
        <v>706411300486</v>
      </c>
      <c r="C170" t="s">
        <v>624</v>
      </c>
      <c r="D170" t="s">
        <v>666</v>
      </c>
      <c r="F170" t="s">
        <v>135</v>
      </c>
      <c r="G170">
        <v>1</v>
      </c>
      <c r="H170">
        <v>1</v>
      </c>
      <c r="I170" t="s">
        <v>97</v>
      </c>
      <c r="J170" s="32">
        <v>99.95</v>
      </c>
      <c r="K170" s="32">
        <v>299.85000000000002</v>
      </c>
      <c r="L170">
        <v>0</v>
      </c>
      <c r="N170">
        <v>0</v>
      </c>
      <c r="W170">
        <v>9.3870000000000005</v>
      </c>
      <c r="X170">
        <v>1</v>
      </c>
      <c r="Y170">
        <v>8.25</v>
      </c>
      <c r="Z170">
        <v>54.5</v>
      </c>
      <c r="AA170">
        <v>7.5</v>
      </c>
      <c r="AB170">
        <v>1.95</v>
      </c>
      <c r="AC170">
        <v>11.587</v>
      </c>
      <c r="AK170" t="s">
        <v>98</v>
      </c>
      <c r="AM170" t="s">
        <v>98</v>
      </c>
      <c r="AN170" t="s">
        <v>98</v>
      </c>
      <c r="AO170" t="s">
        <v>98</v>
      </c>
      <c r="AP170" t="s">
        <v>99</v>
      </c>
      <c r="AQ170" t="s">
        <v>102</v>
      </c>
      <c r="AV170" t="s">
        <v>98</v>
      </c>
      <c r="AX170" t="s">
        <v>150</v>
      </c>
      <c r="BF170" t="s">
        <v>667</v>
      </c>
      <c r="BG170" t="s">
        <v>98</v>
      </c>
      <c r="BH170" t="s">
        <v>98</v>
      </c>
      <c r="BI170" t="s">
        <v>98</v>
      </c>
      <c r="BK170" t="s">
        <v>138</v>
      </c>
      <c r="CA170" t="s">
        <v>668</v>
      </c>
      <c r="CB170" t="s">
        <v>150</v>
      </c>
      <c r="CL170" t="s">
        <v>98</v>
      </c>
      <c r="CM170" t="s">
        <v>98</v>
      </c>
      <c r="CO170" s="1">
        <v>38950</v>
      </c>
      <c r="CP170" s="1">
        <v>43595</v>
      </c>
    </row>
    <row r="171" spans="1:94" x14ac:dyDescent="0.25">
      <c r="A171" s="4" t="s">
        <v>669</v>
      </c>
      <c r="B171" t="str">
        <f xml:space="preserve"> "" &amp; 706411009648</f>
        <v>706411009648</v>
      </c>
      <c r="C171" t="s">
        <v>624</v>
      </c>
      <c r="D171" t="s">
        <v>670</v>
      </c>
      <c r="F171" t="s">
        <v>135</v>
      </c>
      <c r="G171">
        <v>1</v>
      </c>
      <c r="H171">
        <v>1</v>
      </c>
      <c r="I171" t="s">
        <v>97</v>
      </c>
      <c r="J171" s="32">
        <v>89.95</v>
      </c>
      <c r="K171" s="32">
        <v>269.85000000000002</v>
      </c>
      <c r="L171">
        <v>0</v>
      </c>
      <c r="N171">
        <v>0</v>
      </c>
      <c r="W171">
        <v>9.3870000000000005</v>
      </c>
      <c r="X171">
        <v>1</v>
      </c>
      <c r="Y171">
        <v>8.25</v>
      </c>
      <c r="Z171">
        <v>54.5</v>
      </c>
      <c r="AA171">
        <v>7.5</v>
      </c>
      <c r="AB171">
        <v>1.95</v>
      </c>
      <c r="AC171">
        <v>11.587</v>
      </c>
      <c r="AK171" t="s">
        <v>98</v>
      </c>
      <c r="AM171" t="s">
        <v>98</v>
      </c>
      <c r="AN171" t="s">
        <v>98</v>
      </c>
      <c r="AO171" t="s">
        <v>98</v>
      </c>
      <c r="AP171" t="s">
        <v>99</v>
      </c>
      <c r="AQ171" t="s">
        <v>102</v>
      </c>
      <c r="AV171" t="s">
        <v>98</v>
      </c>
      <c r="AX171" t="s">
        <v>630</v>
      </c>
      <c r="BF171" t="s">
        <v>671</v>
      </c>
      <c r="BG171" t="s">
        <v>98</v>
      </c>
      <c r="BH171" t="s">
        <v>98</v>
      </c>
      <c r="BI171" t="s">
        <v>98</v>
      </c>
      <c r="BK171" t="s">
        <v>138</v>
      </c>
      <c r="CA171" t="s">
        <v>668</v>
      </c>
      <c r="CB171" t="s">
        <v>630</v>
      </c>
      <c r="CL171" t="s">
        <v>98</v>
      </c>
      <c r="CM171" t="s">
        <v>98</v>
      </c>
      <c r="CO171" s="1">
        <v>38950</v>
      </c>
      <c r="CP171" s="1">
        <v>43595</v>
      </c>
    </row>
    <row r="172" spans="1:94" x14ac:dyDescent="0.25">
      <c r="A172" s="4" t="s">
        <v>672</v>
      </c>
      <c r="B172" t="str">
        <f xml:space="preserve"> "" &amp; 706411001499</f>
        <v>706411001499</v>
      </c>
      <c r="C172" t="s">
        <v>624</v>
      </c>
      <c r="D172" t="s">
        <v>673</v>
      </c>
      <c r="F172" t="s">
        <v>135</v>
      </c>
      <c r="G172">
        <v>1</v>
      </c>
      <c r="H172">
        <v>1</v>
      </c>
      <c r="I172" t="s">
        <v>97</v>
      </c>
      <c r="J172" s="32">
        <v>69.95</v>
      </c>
      <c r="K172" s="32">
        <v>209.85</v>
      </c>
      <c r="L172">
        <v>0</v>
      </c>
      <c r="N172">
        <v>0</v>
      </c>
      <c r="W172">
        <v>9.3870000000000005</v>
      </c>
      <c r="X172">
        <v>1</v>
      </c>
      <c r="Y172">
        <v>0</v>
      </c>
      <c r="Z172">
        <v>54.5</v>
      </c>
      <c r="AA172">
        <v>7.5</v>
      </c>
      <c r="AB172">
        <v>1.95</v>
      </c>
      <c r="AC172">
        <v>11.587</v>
      </c>
      <c r="AK172" t="s">
        <v>98</v>
      </c>
      <c r="AM172" t="s">
        <v>98</v>
      </c>
      <c r="AN172" t="s">
        <v>98</v>
      </c>
      <c r="AO172" t="s">
        <v>98</v>
      </c>
      <c r="AP172" t="s">
        <v>99</v>
      </c>
      <c r="AQ172" t="s">
        <v>102</v>
      </c>
      <c r="AV172" t="s">
        <v>98</v>
      </c>
      <c r="AX172" t="s">
        <v>302</v>
      </c>
      <c r="BF172" t="s">
        <v>674</v>
      </c>
      <c r="BG172" t="s">
        <v>98</v>
      </c>
      <c r="BH172" t="s">
        <v>98</v>
      </c>
      <c r="BI172" t="s">
        <v>98</v>
      </c>
      <c r="BK172" t="s">
        <v>138</v>
      </c>
      <c r="CA172" t="s">
        <v>668</v>
      </c>
      <c r="CB172" t="s">
        <v>302</v>
      </c>
      <c r="CL172" t="s">
        <v>98</v>
      </c>
      <c r="CM172" t="s">
        <v>98</v>
      </c>
      <c r="CO172" s="1">
        <v>38950</v>
      </c>
      <c r="CP172" s="1">
        <v>43595</v>
      </c>
    </row>
    <row r="173" spans="1:94" x14ac:dyDescent="0.25">
      <c r="A173" s="4" t="s">
        <v>675</v>
      </c>
      <c r="B173" t="str">
        <f xml:space="preserve"> "" &amp; 706411001505</f>
        <v>706411001505</v>
      </c>
      <c r="C173" t="s">
        <v>624</v>
      </c>
      <c r="D173" t="s">
        <v>676</v>
      </c>
      <c r="F173" t="s">
        <v>135</v>
      </c>
      <c r="G173">
        <v>1</v>
      </c>
      <c r="H173">
        <v>1</v>
      </c>
      <c r="I173" t="s">
        <v>97</v>
      </c>
      <c r="J173" s="32">
        <v>129.94999999999999</v>
      </c>
      <c r="K173" s="32">
        <v>389.85</v>
      </c>
      <c r="L173">
        <v>0</v>
      </c>
      <c r="N173">
        <v>0</v>
      </c>
      <c r="W173">
        <v>12.613</v>
      </c>
      <c r="X173">
        <v>1</v>
      </c>
      <c r="Y173">
        <v>0</v>
      </c>
      <c r="Z173">
        <v>66.38</v>
      </c>
      <c r="AA173">
        <v>7.5</v>
      </c>
      <c r="AB173">
        <v>2.38</v>
      </c>
      <c r="AC173">
        <v>14.813000000000001</v>
      </c>
      <c r="AK173" t="s">
        <v>98</v>
      </c>
      <c r="AM173" t="s">
        <v>98</v>
      </c>
      <c r="AN173" t="s">
        <v>98</v>
      </c>
      <c r="AO173" t="s">
        <v>98</v>
      </c>
      <c r="AP173" t="s">
        <v>99</v>
      </c>
      <c r="AQ173" t="s">
        <v>102</v>
      </c>
      <c r="AV173" t="s">
        <v>98</v>
      </c>
      <c r="AX173" t="s">
        <v>150</v>
      </c>
      <c r="BF173" t="s">
        <v>677</v>
      </c>
      <c r="BG173" t="s">
        <v>98</v>
      </c>
      <c r="BH173" t="s">
        <v>98</v>
      </c>
      <c r="BI173" t="s">
        <v>98</v>
      </c>
      <c r="BK173" t="s">
        <v>138</v>
      </c>
      <c r="CA173" t="s">
        <v>678</v>
      </c>
      <c r="CB173" t="s">
        <v>150</v>
      </c>
      <c r="CL173" t="s">
        <v>98</v>
      </c>
      <c r="CM173" t="s">
        <v>98</v>
      </c>
      <c r="CO173" s="1">
        <v>38950</v>
      </c>
      <c r="CP173" s="1">
        <v>43595</v>
      </c>
    </row>
    <row r="174" spans="1:94" x14ac:dyDescent="0.25">
      <c r="A174" s="4" t="s">
        <v>679</v>
      </c>
      <c r="B174" t="str">
        <f xml:space="preserve"> "" &amp; 706411009655</f>
        <v>706411009655</v>
      </c>
      <c r="C174" t="s">
        <v>624</v>
      </c>
      <c r="D174" t="s">
        <v>680</v>
      </c>
      <c r="F174" t="s">
        <v>135</v>
      </c>
      <c r="G174">
        <v>1</v>
      </c>
      <c r="H174">
        <v>1</v>
      </c>
      <c r="I174" t="s">
        <v>97</v>
      </c>
      <c r="J174" s="32">
        <v>122.95</v>
      </c>
      <c r="K174" s="32">
        <v>368.85</v>
      </c>
      <c r="L174">
        <v>0</v>
      </c>
      <c r="N174">
        <v>0</v>
      </c>
      <c r="W174">
        <v>12.613</v>
      </c>
      <c r="X174">
        <v>1</v>
      </c>
      <c r="Y174">
        <v>8.25</v>
      </c>
      <c r="Z174">
        <v>66.38</v>
      </c>
      <c r="AA174">
        <v>7.5</v>
      </c>
      <c r="AB174">
        <v>2.38</v>
      </c>
      <c r="AC174">
        <v>14.813000000000001</v>
      </c>
      <c r="AK174" t="s">
        <v>98</v>
      </c>
      <c r="AM174" t="s">
        <v>98</v>
      </c>
      <c r="AN174" t="s">
        <v>98</v>
      </c>
      <c r="AO174" t="s">
        <v>98</v>
      </c>
      <c r="AP174" t="s">
        <v>99</v>
      </c>
      <c r="AQ174" t="s">
        <v>102</v>
      </c>
      <c r="AV174" t="s">
        <v>98</v>
      </c>
      <c r="AX174" t="s">
        <v>630</v>
      </c>
      <c r="BF174" t="s">
        <v>681</v>
      </c>
      <c r="BG174" t="s">
        <v>98</v>
      </c>
      <c r="BH174" t="s">
        <v>98</v>
      </c>
      <c r="BI174" t="s">
        <v>98</v>
      </c>
      <c r="BK174" t="s">
        <v>138</v>
      </c>
      <c r="CA174" t="s">
        <v>678</v>
      </c>
      <c r="CB174" t="s">
        <v>630</v>
      </c>
      <c r="CL174" t="s">
        <v>98</v>
      </c>
      <c r="CM174" t="s">
        <v>98</v>
      </c>
      <c r="CO174" s="1">
        <v>38950</v>
      </c>
      <c r="CP174" s="1">
        <v>43595</v>
      </c>
    </row>
    <row r="175" spans="1:94" x14ac:dyDescent="0.25">
      <c r="A175" s="4" t="s">
        <v>682</v>
      </c>
      <c r="B175" t="str">
        <f xml:space="preserve"> "" &amp; 706411001529</f>
        <v>706411001529</v>
      </c>
      <c r="C175" t="s">
        <v>624</v>
      </c>
      <c r="D175" t="s">
        <v>683</v>
      </c>
      <c r="F175" t="s">
        <v>135</v>
      </c>
      <c r="G175">
        <v>1</v>
      </c>
      <c r="H175">
        <v>1</v>
      </c>
      <c r="I175" t="s">
        <v>97</v>
      </c>
      <c r="J175" s="32">
        <v>77.95</v>
      </c>
      <c r="K175" s="32">
        <v>233.85</v>
      </c>
      <c r="L175">
        <v>0</v>
      </c>
      <c r="N175">
        <v>0</v>
      </c>
      <c r="W175">
        <v>12.613</v>
      </c>
      <c r="X175">
        <v>1</v>
      </c>
      <c r="Y175">
        <v>8.25</v>
      </c>
      <c r="Z175">
        <v>66.38</v>
      </c>
      <c r="AA175">
        <v>7.5</v>
      </c>
      <c r="AB175">
        <v>2.38</v>
      </c>
      <c r="AC175">
        <v>14.813000000000001</v>
      </c>
      <c r="AK175" t="s">
        <v>98</v>
      </c>
      <c r="AM175" t="s">
        <v>98</v>
      </c>
      <c r="AN175" t="s">
        <v>98</v>
      </c>
      <c r="AO175" t="s">
        <v>98</v>
      </c>
      <c r="AP175" t="s">
        <v>99</v>
      </c>
      <c r="AQ175" t="s">
        <v>102</v>
      </c>
      <c r="AV175" t="s">
        <v>98</v>
      </c>
      <c r="AX175" t="s">
        <v>302</v>
      </c>
      <c r="BF175" t="s">
        <v>684</v>
      </c>
      <c r="BG175" t="s">
        <v>98</v>
      </c>
      <c r="BH175" t="s">
        <v>98</v>
      </c>
      <c r="BI175" t="s">
        <v>98</v>
      </c>
      <c r="BK175" t="s">
        <v>138</v>
      </c>
      <c r="CA175" t="s">
        <v>678</v>
      </c>
      <c r="CB175" t="s">
        <v>302</v>
      </c>
      <c r="CL175" t="s">
        <v>98</v>
      </c>
      <c r="CM175" t="s">
        <v>98</v>
      </c>
      <c r="CO175" s="1">
        <v>38950</v>
      </c>
      <c r="CP175" s="1">
        <v>43595</v>
      </c>
    </row>
    <row r="176" spans="1:94" x14ac:dyDescent="0.25">
      <c r="A176" s="4" t="s">
        <v>685</v>
      </c>
      <c r="B176" t="str">
        <f xml:space="preserve"> "" &amp; 706411001536</f>
        <v>706411001536</v>
      </c>
      <c r="C176" t="s">
        <v>624</v>
      </c>
      <c r="D176" t="s">
        <v>686</v>
      </c>
      <c r="F176" t="s">
        <v>135</v>
      </c>
      <c r="G176">
        <v>1</v>
      </c>
      <c r="H176">
        <v>1</v>
      </c>
      <c r="I176" t="s">
        <v>97</v>
      </c>
      <c r="J176" s="32">
        <v>144.94999999999999</v>
      </c>
      <c r="K176" s="32">
        <v>434.85</v>
      </c>
      <c r="L176">
        <v>0</v>
      </c>
      <c r="N176">
        <v>0</v>
      </c>
      <c r="W176">
        <v>15.4</v>
      </c>
      <c r="X176">
        <v>1</v>
      </c>
      <c r="Y176">
        <v>0</v>
      </c>
      <c r="Z176">
        <v>78.25</v>
      </c>
      <c r="AA176">
        <v>7.5</v>
      </c>
      <c r="AB176">
        <v>2.8</v>
      </c>
      <c r="AC176">
        <v>17.966999999999999</v>
      </c>
      <c r="AK176" t="s">
        <v>98</v>
      </c>
      <c r="AM176" t="s">
        <v>98</v>
      </c>
      <c r="AN176" t="s">
        <v>98</v>
      </c>
      <c r="AO176" t="s">
        <v>98</v>
      </c>
      <c r="AP176" t="s">
        <v>99</v>
      </c>
      <c r="AQ176" t="s">
        <v>102</v>
      </c>
      <c r="AV176" t="s">
        <v>98</v>
      </c>
      <c r="AX176" t="s">
        <v>150</v>
      </c>
      <c r="BF176" t="s">
        <v>687</v>
      </c>
      <c r="BG176" t="s">
        <v>98</v>
      </c>
      <c r="BH176" t="s">
        <v>98</v>
      </c>
      <c r="BI176" t="s">
        <v>98</v>
      </c>
      <c r="BK176" t="s">
        <v>138</v>
      </c>
      <c r="CA176" t="s">
        <v>688</v>
      </c>
      <c r="CB176" t="s">
        <v>150</v>
      </c>
      <c r="CL176" t="s">
        <v>98</v>
      </c>
      <c r="CM176" t="s">
        <v>98</v>
      </c>
      <c r="CO176" s="1">
        <v>38950</v>
      </c>
      <c r="CP176" s="1">
        <v>43595</v>
      </c>
    </row>
    <row r="177" spans="1:94" x14ac:dyDescent="0.25">
      <c r="A177" s="4" t="s">
        <v>689</v>
      </c>
      <c r="B177" t="str">
        <f xml:space="preserve"> "" &amp; 706411009662</f>
        <v>706411009662</v>
      </c>
      <c r="C177" t="s">
        <v>624</v>
      </c>
      <c r="D177" t="s">
        <v>690</v>
      </c>
      <c r="F177" t="s">
        <v>135</v>
      </c>
      <c r="G177">
        <v>1</v>
      </c>
      <c r="H177">
        <v>1</v>
      </c>
      <c r="I177" t="s">
        <v>97</v>
      </c>
      <c r="J177" s="32">
        <v>134.94999999999999</v>
      </c>
      <c r="K177" s="32">
        <v>404.85</v>
      </c>
      <c r="L177">
        <v>0</v>
      </c>
      <c r="N177">
        <v>0</v>
      </c>
      <c r="W177">
        <v>15.4</v>
      </c>
      <c r="X177">
        <v>1</v>
      </c>
      <c r="Y177">
        <v>8.25</v>
      </c>
      <c r="Z177">
        <v>78.25</v>
      </c>
      <c r="AA177">
        <v>7.5</v>
      </c>
      <c r="AB177">
        <v>2.8</v>
      </c>
      <c r="AC177">
        <v>17.966999999999999</v>
      </c>
      <c r="AK177" t="s">
        <v>98</v>
      </c>
      <c r="AM177" t="s">
        <v>98</v>
      </c>
      <c r="AN177" t="s">
        <v>98</v>
      </c>
      <c r="AO177" t="s">
        <v>98</v>
      </c>
      <c r="AP177" t="s">
        <v>99</v>
      </c>
      <c r="AQ177" t="s">
        <v>102</v>
      </c>
      <c r="AV177" t="s">
        <v>98</v>
      </c>
      <c r="AX177" t="s">
        <v>630</v>
      </c>
      <c r="BF177" t="s">
        <v>691</v>
      </c>
      <c r="BG177" t="s">
        <v>98</v>
      </c>
      <c r="BH177" t="s">
        <v>98</v>
      </c>
      <c r="BI177" t="s">
        <v>98</v>
      </c>
      <c r="BK177" t="s">
        <v>138</v>
      </c>
      <c r="CA177" t="s">
        <v>688</v>
      </c>
      <c r="CB177" t="s">
        <v>630</v>
      </c>
      <c r="CL177" t="s">
        <v>98</v>
      </c>
      <c r="CM177" t="s">
        <v>98</v>
      </c>
      <c r="CO177" s="1">
        <v>38950</v>
      </c>
      <c r="CP177" s="1">
        <v>43595</v>
      </c>
    </row>
    <row r="178" spans="1:94" x14ac:dyDescent="0.25">
      <c r="A178" s="4" t="s">
        <v>692</v>
      </c>
      <c r="B178" t="str">
        <f xml:space="preserve"> "" &amp; 706411001550</f>
        <v>706411001550</v>
      </c>
      <c r="C178" t="s">
        <v>624</v>
      </c>
      <c r="D178" t="s">
        <v>693</v>
      </c>
      <c r="F178" t="s">
        <v>135</v>
      </c>
      <c r="G178">
        <v>1</v>
      </c>
      <c r="H178">
        <v>1</v>
      </c>
      <c r="I178" t="s">
        <v>97</v>
      </c>
      <c r="J178" s="32">
        <v>92.95</v>
      </c>
      <c r="K178" s="32">
        <v>278.85000000000002</v>
      </c>
      <c r="L178">
        <v>0</v>
      </c>
      <c r="N178">
        <v>0</v>
      </c>
      <c r="W178">
        <v>15.4</v>
      </c>
      <c r="X178">
        <v>1</v>
      </c>
      <c r="Y178">
        <v>8.5</v>
      </c>
      <c r="Z178">
        <v>78.25</v>
      </c>
      <c r="AA178">
        <v>7.5</v>
      </c>
      <c r="AB178">
        <v>2.89</v>
      </c>
      <c r="AC178">
        <v>17.966999999999999</v>
      </c>
      <c r="AK178" t="s">
        <v>98</v>
      </c>
      <c r="AM178" t="s">
        <v>98</v>
      </c>
      <c r="AN178" t="s">
        <v>98</v>
      </c>
      <c r="AO178" t="s">
        <v>98</v>
      </c>
      <c r="AP178" t="s">
        <v>99</v>
      </c>
      <c r="AQ178" t="s">
        <v>102</v>
      </c>
      <c r="AV178" t="s">
        <v>98</v>
      </c>
      <c r="AX178" t="s">
        <v>302</v>
      </c>
      <c r="BF178" t="s">
        <v>694</v>
      </c>
      <c r="BG178" t="s">
        <v>98</v>
      </c>
      <c r="BH178" t="s">
        <v>98</v>
      </c>
      <c r="BI178" t="s">
        <v>98</v>
      </c>
      <c r="BK178" t="s">
        <v>138</v>
      </c>
      <c r="CA178" t="s">
        <v>688</v>
      </c>
      <c r="CB178" t="s">
        <v>302</v>
      </c>
      <c r="CL178" t="s">
        <v>98</v>
      </c>
      <c r="CM178" t="s">
        <v>98</v>
      </c>
      <c r="CO178" s="1">
        <v>38950</v>
      </c>
      <c r="CP178" s="1">
        <v>43595</v>
      </c>
    </row>
    <row r="179" spans="1:94" x14ac:dyDescent="0.25">
      <c r="A179" s="4" t="s">
        <v>695</v>
      </c>
      <c r="B179" t="str">
        <f xml:space="preserve"> "" &amp; 706411045868</f>
        <v>706411045868</v>
      </c>
      <c r="C179" t="s">
        <v>696</v>
      </c>
      <c r="D179" t="s">
        <v>697</v>
      </c>
      <c r="F179" t="s">
        <v>135</v>
      </c>
      <c r="G179">
        <v>1</v>
      </c>
      <c r="H179">
        <v>1</v>
      </c>
      <c r="I179" t="s">
        <v>97</v>
      </c>
      <c r="J179" s="32">
        <v>10</v>
      </c>
      <c r="K179" s="32">
        <v>30</v>
      </c>
      <c r="L179">
        <v>0</v>
      </c>
      <c r="N179">
        <v>0</v>
      </c>
      <c r="T179">
        <v>12</v>
      </c>
      <c r="U179">
        <v>0.75</v>
      </c>
      <c r="W179">
        <v>0.55000000000000004</v>
      </c>
      <c r="X179">
        <v>1</v>
      </c>
      <c r="AB179">
        <v>1.7500000000000002E-2</v>
      </c>
      <c r="AC179">
        <v>0.59399999999999997</v>
      </c>
      <c r="AK179" t="s">
        <v>98</v>
      </c>
      <c r="AM179" t="s">
        <v>98</v>
      </c>
      <c r="AN179" t="s">
        <v>98</v>
      </c>
      <c r="AO179" t="s">
        <v>98</v>
      </c>
      <c r="AP179" t="s">
        <v>99</v>
      </c>
      <c r="AQ179" t="s">
        <v>102</v>
      </c>
      <c r="AV179" t="s">
        <v>98</v>
      </c>
      <c r="AX179" t="s">
        <v>150</v>
      </c>
      <c r="BF179" t="s">
        <v>698</v>
      </c>
      <c r="BG179" t="s">
        <v>98</v>
      </c>
      <c r="BH179" t="s">
        <v>98</v>
      </c>
      <c r="BI179" t="s">
        <v>98</v>
      </c>
      <c r="BK179" t="s">
        <v>138</v>
      </c>
      <c r="CA179" t="s">
        <v>699</v>
      </c>
      <c r="CB179" t="s">
        <v>150</v>
      </c>
      <c r="CL179" t="s">
        <v>98</v>
      </c>
      <c r="CM179" t="s">
        <v>98</v>
      </c>
      <c r="CN179" t="s">
        <v>700</v>
      </c>
      <c r="CP179" s="1">
        <v>43595</v>
      </c>
    </row>
    <row r="180" spans="1:94" x14ac:dyDescent="0.25">
      <c r="A180" s="4" t="s">
        <v>701</v>
      </c>
      <c r="B180" t="str">
        <f xml:space="preserve"> "" &amp; 706411053436</f>
        <v>706411053436</v>
      </c>
      <c r="C180" t="s">
        <v>696</v>
      </c>
      <c r="D180" t="s">
        <v>702</v>
      </c>
      <c r="F180" t="s">
        <v>135</v>
      </c>
      <c r="G180">
        <v>1</v>
      </c>
      <c r="H180">
        <v>1</v>
      </c>
      <c r="I180" t="s">
        <v>97</v>
      </c>
      <c r="J180" s="32">
        <v>10</v>
      </c>
      <c r="K180" s="32">
        <v>30</v>
      </c>
      <c r="L180">
        <v>0</v>
      </c>
      <c r="N180">
        <v>0</v>
      </c>
      <c r="T180">
        <v>12</v>
      </c>
      <c r="U180">
        <v>0.75</v>
      </c>
      <c r="W180">
        <v>0.55000000000000004</v>
      </c>
      <c r="X180">
        <v>1</v>
      </c>
      <c r="AB180">
        <v>1.7500000000000002E-2</v>
      </c>
      <c r="AC180">
        <v>0.59399999999999997</v>
      </c>
      <c r="AK180" t="s">
        <v>98</v>
      </c>
      <c r="AM180" t="s">
        <v>98</v>
      </c>
      <c r="AN180" t="s">
        <v>98</v>
      </c>
      <c r="AO180" t="s">
        <v>98</v>
      </c>
      <c r="AP180" t="s">
        <v>99</v>
      </c>
      <c r="AQ180" t="s">
        <v>102</v>
      </c>
      <c r="AV180" t="s">
        <v>98</v>
      </c>
      <c r="AX180" t="s">
        <v>703</v>
      </c>
      <c r="BF180" t="s">
        <v>704</v>
      </c>
      <c r="BG180" t="s">
        <v>98</v>
      </c>
      <c r="BH180" t="s">
        <v>98</v>
      </c>
      <c r="BI180" t="s">
        <v>98</v>
      </c>
      <c r="BK180" t="s">
        <v>138</v>
      </c>
      <c r="CA180" t="s">
        <v>699</v>
      </c>
      <c r="CB180" t="s">
        <v>703</v>
      </c>
      <c r="CL180" t="s">
        <v>98</v>
      </c>
      <c r="CM180" t="s">
        <v>98</v>
      </c>
      <c r="CN180" t="s">
        <v>700</v>
      </c>
      <c r="CP180" s="1">
        <v>43595</v>
      </c>
    </row>
    <row r="181" spans="1:94" x14ac:dyDescent="0.25">
      <c r="A181" s="4" t="s">
        <v>705</v>
      </c>
      <c r="B181" t="str">
        <f xml:space="preserve"> "" &amp; 706411045752</f>
        <v>706411045752</v>
      </c>
      <c r="C181" t="s">
        <v>706</v>
      </c>
      <c r="D181" t="s">
        <v>707</v>
      </c>
      <c r="F181" t="s">
        <v>135</v>
      </c>
      <c r="G181">
        <v>1</v>
      </c>
      <c r="H181">
        <v>1</v>
      </c>
      <c r="I181" t="s">
        <v>97</v>
      </c>
      <c r="J181" s="32">
        <v>10</v>
      </c>
      <c r="K181" s="32">
        <v>30</v>
      </c>
      <c r="L181">
        <v>0</v>
      </c>
      <c r="N181">
        <v>0</v>
      </c>
      <c r="T181">
        <v>12</v>
      </c>
      <c r="U181">
        <v>0.75</v>
      </c>
      <c r="W181">
        <v>0.55000000000000004</v>
      </c>
      <c r="X181">
        <v>1</v>
      </c>
      <c r="AB181">
        <v>1.7500000000000002E-2</v>
      </c>
      <c r="AC181">
        <v>0.59399999999999997</v>
      </c>
      <c r="AK181" t="s">
        <v>98</v>
      </c>
      <c r="AM181" t="s">
        <v>98</v>
      </c>
      <c r="AN181" t="s">
        <v>98</v>
      </c>
      <c r="AO181" t="s">
        <v>98</v>
      </c>
      <c r="AP181" t="s">
        <v>99</v>
      </c>
      <c r="AQ181" t="s">
        <v>102</v>
      </c>
      <c r="AV181" t="s">
        <v>98</v>
      </c>
      <c r="AX181" t="s">
        <v>245</v>
      </c>
      <c r="BF181" t="s">
        <v>708</v>
      </c>
      <c r="BG181" t="s">
        <v>98</v>
      </c>
      <c r="BH181" t="s">
        <v>98</v>
      </c>
      <c r="BI181" t="s">
        <v>98</v>
      </c>
      <c r="CB181" t="s">
        <v>245</v>
      </c>
      <c r="CL181" t="s">
        <v>98</v>
      </c>
      <c r="CM181" t="s">
        <v>98</v>
      </c>
      <c r="CP181" s="1">
        <v>43595</v>
      </c>
    </row>
    <row r="182" spans="1:94" x14ac:dyDescent="0.25">
      <c r="A182" s="4" t="s">
        <v>709</v>
      </c>
      <c r="B182" t="str">
        <f xml:space="preserve"> "" &amp; 706411045905</f>
        <v>706411045905</v>
      </c>
      <c r="C182" t="s">
        <v>696</v>
      </c>
      <c r="D182" t="s">
        <v>710</v>
      </c>
      <c r="F182" t="s">
        <v>135</v>
      </c>
      <c r="G182">
        <v>1</v>
      </c>
      <c r="H182">
        <v>1</v>
      </c>
      <c r="I182" t="s">
        <v>97</v>
      </c>
      <c r="J182" s="32">
        <v>8.5</v>
      </c>
      <c r="K182" s="32">
        <v>25.5</v>
      </c>
      <c r="L182">
        <v>0</v>
      </c>
      <c r="N182">
        <v>0</v>
      </c>
      <c r="T182">
        <v>12</v>
      </c>
      <c r="U182">
        <v>0.75</v>
      </c>
      <c r="W182">
        <v>0.55000000000000004</v>
      </c>
      <c r="X182">
        <v>1</v>
      </c>
      <c r="AB182">
        <v>1.7500000000000002E-2</v>
      </c>
      <c r="AC182">
        <v>0.59399999999999997</v>
      </c>
      <c r="AK182" t="s">
        <v>98</v>
      </c>
      <c r="AM182" t="s">
        <v>98</v>
      </c>
      <c r="AN182" t="s">
        <v>98</v>
      </c>
      <c r="AO182" t="s">
        <v>98</v>
      </c>
      <c r="AP182" t="s">
        <v>99</v>
      </c>
      <c r="AQ182" t="s">
        <v>102</v>
      </c>
      <c r="AV182" t="s">
        <v>98</v>
      </c>
      <c r="AX182" t="s">
        <v>306</v>
      </c>
      <c r="BF182" t="s">
        <v>711</v>
      </c>
      <c r="BG182" t="s">
        <v>98</v>
      </c>
      <c r="BH182" t="s">
        <v>98</v>
      </c>
      <c r="BI182" t="s">
        <v>98</v>
      </c>
      <c r="BK182" t="s">
        <v>138</v>
      </c>
      <c r="CA182" t="s">
        <v>699</v>
      </c>
      <c r="CB182" t="s">
        <v>306</v>
      </c>
      <c r="CL182" t="s">
        <v>98</v>
      </c>
      <c r="CM182" t="s">
        <v>98</v>
      </c>
      <c r="CN182" t="s">
        <v>700</v>
      </c>
      <c r="CP182" s="1">
        <v>43595</v>
      </c>
    </row>
    <row r="183" spans="1:94" x14ac:dyDescent="0.25">
      <c r="A183" s="4" t="s">
        <v>712</v>
      </c>
      <c r="B183" t="str">
        <f xml:space="preserve"> "" &amp; 706411045875</f>
        <v>706411045875</v>
      </c>
      <c r="C183" t="s">
        <v>696</v>
      </c>
      <c r="D183" t="s">
        <v>713</v>
      </c>
      <c r="F183" t="s">
        <v>135</v>
      </c>
      <c r="G183">
        <v>1</v>
      </c>
      <c r="H183">
        <v>1</v>
      </c>
      <c r="I183" t="s">
        <v>97</v>
      </c>
      <c r="J183" s="32">
        <v>14</v>
      </c>
      <c r="K183" s="32">
        <v>42</v>
      </c>
      <c r="L183">
        <v>0</v>
      </c>
      <c r="N183">
        <v>0</v>
      </c>
      <c r="T183">
        <v>18</v>
      </c>
      <c r="U183">
        <v>0.75</v>
      </c>
      <c r="W183">
        <v>0.81399999999999995</v>
      </c>
      <c r="X183">
        <v>1</v>
      </c>
      <c r="AB183">
        <v>2.41E-2</v>
      </c>
      <c r="AC183">
        <v>0.85799999999999998</v>
      </c>
      <c r="AK183" t="s">
        <v>98</v>
      </c>
      <c r="AM183" t="s">
        <v>98</v>
      </c>
      <c r="AN183" t="s">
        <v>98</v>
      </c>
      <c r="AO183" t="s">
        <v>98</v>
      </c>
      <c r="AP183" t="s">
        <v>99</v>
      </c>
      <c r="AQ183" t="s">
        <v>102</v>
      </c>
      <c r="AV183" t="s">
        <v>98</v>
      </c>
      <c r="AX183" t="s">
        <v>150</v>
      </c>
      <c r="BF183" t="s">
        <v>714</v>
      </c>
      <c r="BG183" t="s">
        <v>98</v>
      </c>
      <c r="BH183" t="s">
        <v>98</v>
      </c>
      <c r="BI183" t="s">
        <v>98</v>
      </c>
      <c r="CB183" t="s">
        <v>150</v>
      </c>
      <c r="CL183" t="s">
        <v>98</v>
      </c>
      <c r="CM183" t="s">
        <v>98</v>
      </c>
      <c r="CP183" s="1">
        <v>43595</v>
      </c>
    </row>
    <row r="184" spans="1:94" x14ac:dyDescent="0.25">
      <c r="A184" s="4" t="s">
        <v>715</v>
      </c>
      <c r="B184" t="str">
        <f xml:space="preserve"> "" &amp; 706411053443</f>
        <v>706411053443</v>
      </c>
      <c r="C184" t="s">
        <v>696</v>
      </c>
      <c r="D184" t="s">
        <v>716</v>
      </c>
      <c r="F184" t="s">
        <v>135</v>
      </c>
      <c r="G184">
        <v>1</v>
      </c>
      <c r="H184">
        <v>1</v>
      </c>
      <c r="I184" t="s">
        <v>97</v>
      </c>
      <c r="J184" s="32">
        <v>14</v>
      </c>
      <c r="K184" s="32">
        <v>42</v>
      </c>
      <c r="L184">
        <v>0</v>
      </c>
      <c r="N184">
        <v>0</v>
      </c>
      <c r="T184">
        <v>18</v>
      </c>
      <c r="U184">
        <v>0.75</v>
      </c>
      <c r="W184">
        <v>0.81399999999999995</v>
      </c>
      <c r="X184">
        <v>1</v>
      </c>
      <c r="AB184">
        <v>2.41E-2</v>
      </c>
      <c r="AC184">
        <v>0.85799999999999998</v>
      </c>
      <c r="AK184" t="s">
        <v>98</v>
      </c>
      <c r="AM184" t="s">
        <v>98</v>
      </c>
      <c r="AN184" t="s">
        <v>98</v>
      </c>
      <c r="AO184" t="s">
        <v>98</v>
      </c>
      <c r="AP184" t="s">
        <v>99</v>
      </c>
      <c r="AQ184" t="s">
        <v>102</v>
      </c>
      <c r="AV184" t="s">
        <v>98</v>
      </c>
      <c r="AX184" t="s">
        <v>703</v>
      </c>
      <c r="BF184" t="s">
        <v>717</v>
      </c>
      <c r="BG184" t="s">
        <v>98</v>
      </c>
      <c r="BH184" t="s">
        <v>98</v>
      </c>
      <c r="BI184" t="s">
        <v>98</v>
      </c>
      <c r="CB184" t="s">
        <v>703</v>
      </c>
      <c r="CL184" t="s">
        <v>98</v>
      </c>
      <c r="CM184" t="s">
        <v>98</v>
      </c>
      <c r="CP184" s="1">
        <v>43595</v>
      </c>
    </row>
    <row r="185" spans="1:94" x14ac:dyDescent="0.25">
      <c r="A185" s="4" t="s">
        <v>718</v>
      </c>
      <c r="B185" t="str">
        <f xml:space="preserve"> "" &amp; 706411045769</f>
        <v>706411045769</v>
      </c>
      <c r="C185" t="s">
        <v>696</v>
      </c>
      <c r="D185" t="s">
        <v>719</v>
      </c>
      <c r="F185" t="s">
        <v>135</v>
      </c>
      <c r="G185">
        <v>1</v>
      </c>
      <c r="H185">
        <v>1</v>
      </c>
      <c r="I185" t="s">
        <v>97</v>
      </c>
      <c r="J185" s="32">
        <v>14</v>
      </c>
      <c r="K185" s="32">
        <v>42</v>
      </c>
      <c r="L185">
        <v>0</v>
      </c>
      <c r="N185">
        <v>0</v>
      </c>
      <c r="T185">
        <v>18</v>
      </c>
      <c r="U185">
        <v>0.75</v>
      </c>
      <c r="W185">
        <v>0.81399999999999995</v>
      </c>
      <c r="X185">
        <v>1</v>
      </c>
      <c r="AB185">
        <v>2.41E-2</v>
      </c>
      <c r="AC185">
        <v>0.85799999999999998</v>
      </c>
      <c r="AK185" t="s">
        <v>98</v>
      </c>
      <c r="AM185" t="s">
        <v>98</v>
      </c>
      <c r="AN185" t="s">
        <v>98</v>
      </c>
      <c r="AO185" t="s">
        <v>98</v>
      </c>
      <c r="AP185" t="s">
        <v>99</v>
      </c>
      <c r="AQ185" t="s">
        <v>102</v>
      </c>
      <c r="AV185" t="s">
        <v>98</v>
      </c>
      <c r="AX185" t="s">
        <v>245</v>
      </c>
      <c r="BF185" t="s">
        <v>720</v>
      </c>
      <c r="BG185" t="s">
        <v>98</v>
      </c>
      <c r="BH185" t="s">
        <v>98</v>
      </c>
      <c r="BI185" t="s">
        <v>98</v>
      </c>
      <c r="CB185" t="s">
        <v>245</v>
      </c>
      <c r="CL185" t="s">
        <v>98</v>
      </c>
      <c r="CM185" t="s">
        <v>98</v>
      </c>
      <c r="CP185" s="1">
        <v>43595</v>
      </c>
    </row>
    <row r="186" spans="1:94" x14ac:dyDescent="0.25">
      <c r="A186" s="4" t="s">
        <v>721</v>
      </c>
      <c r="B186" t="str">
        <f xml:space="preserve"> "" &amp; 706411045912</f>
        <v>706411045912</v>
      </c>
      <c r="C186" t="s">
        <v>696</v>
      </c>
      <c r="D186" t="s">
        <v>722</v>
      </c>
      <c r="F186" t="s">
        <v>135</v>
      </c>
      <c r="G186">
        <v>1</v>
      </c>
      <c r="H186">
        <v>1</v>
      </c>
      <c r="I186" t="s">
        <v>97</v>
      </c>
      <c r="J186" s="32">
        <v>11</v>
      </c>
      <c r="K186" s="32">
        <v>33</v>
      </c>
      <c r="L186">
        <v>0</v>
      </c>
      <c r="N186">
        <v>0</v>
      </c>
      <c r="T186">
        <v>18</v>
      </c>
      <c r="U186">
        <v>0.75</v>
      </c>
      <c r="W186">
        <v>0.81399999999999995</v>
      </c>
      <c r="X186">
        <v>1</v>
      </c>
      <c r="AB186">
        <v>2.41E-2</v>
      </c>
      <c r="AC186">
        <v>0.85799999999999998</v>
      </c>
      <c r="AK186" t="s">
        <v>98</v>
      </c>
      <c r="AM186" t="s">
        <v>98</v>
      </c>
      <c r="AN186" t="s">
        <v>98</v>
      </c>
      <c r="AO186" t="s">
        <v>98</v>
      </c>
      <c r="AP186" t="s">
        <v>99</v>
      </c>
      <c r="AQ186" t="s">
        <v>102</v>
      </c>
      <c r="AV186" t="s">
        <v>98</v>
      </c>
      <c r="AX186" t="s">
        <v>306</v>
      </c>
      <c r="BF186" t="s">
        <v>723</v>
      </c>
      <c r="BG186" t="s">
        <v>98</v>
      </c>
      <c r="BH186" t="s">
        <v>98</v>
      </c>
      <c r="BI186" t="s">
        <v>98</v>
      </c>
      <c r="CB186" t="s">
        <v>306</v>
      </c>
      <c r="CL186" t="s">
        <v>98</v>
      </c>
      <c r="CM186" t="s">
        <v>98</v>
      </c>
      <c r="CP186" s="1">
        <v>43595</v>
      </c>
    </row>
    <row r="187" spans="1:94" x14ac:dyDescent="0.25">
      <c r="A187" s="4" t="s">
        <v>724</v>
      </c>
      <c r="B187" t="str">
        <f xml:space="preserve"> "" &amp; 706411054051</f>
        <v>706411054051</v>
      </c>
      <c r="C187" t="s">
        <v>725</v>
      </c>
      <c r="D187" t="s">
        <v>726</v>
      </c>
      <c r="F187" t="s">
        <v>135</v>
      </c>
      <c r="G187">
        <v>1</v>
      </c>
      <c r="H187">
        <v>1</v>
      </c>
      <c r="I187" t="s">
        <v>97</v>
      </c>
      <c r="J187" s="32">
        <v>16</v>
      </c>
      <c r="K187" s="32">
        <v>48</v>
      </c>
      <c r="L187">
        <v>0</v>
      </c>
      <c r="N187">
        <v>0</v>
      </c>
      <c r="T187">
        <v>24</v>
      </c>
      <c r="U187">
        <v>0.75</v>
      </c>
      <c r="W187">
        <v>1.1000000000000001</v>
      </c>
      <c r="X187">
        <v>1</v>
      </c>
      <c r="AB187">
        <v>3.1099999999999999E-2</v>
      </c>
      <c r="AC187">
        <v>1.1659999999999999</v>
      </c>
      <c r="AK187" t="s">
        <v>98</v>
      </c>
      <c r="AM187" t="s">
        <v>98</v>
      </c>
      <c r="AN187" t="s">
        <v>98</v>
      </c>
      <c r="AO187" t="s">
        <v>98</v>
      </c>
      <c r="AP187" t="s">
        <v>99</v>
      </c>
      <c r="AQ187" t="s">
        <v>102</v>
      </c>
      <c r="AV187" t="s">
        <v>98</v>
      </c>
      <c r="AX187" t="s">
        <v>727</v>
      </c>
      <c r="BF187" t="s">
        <v>728</v>
      </c>
      <c r="BG187" t="s">
        <v>98</v>
      </c>
      <c r="BH187" t="s">
        <v>98</v>
      </c>
      <c r="BI187" t="s">
        <v>98</v>
      </c>
      <c r="BK187" t="s">
        <v>138</v>
      </c>
      <c r="CA187" t="s">
        <v>729</v>
      </c>
      <c r="CB187" t="s">
        <v>727</v>
      </c>
      <c r="CL187" t="s">
        <v>98</v>
      </c>
      <c r="CM187" t="s">
        <v>98</v>
      </c>
      <c r="CN187" t="s">
        <v>700</v>
      </c>
      <c r="CO187" s="1">
        <v>43448</v>
      </c>
      <c r="CP187" s="1">
        <v>43595</v>
      </c>
    </row>
    <row r="188" spans="1:94" x14ac:dyDescent="0.25">
      <c r="A188" s="4" t="s">
        <v>730</v>
      </c>
      <c r="B188" t="str">
        <f xml:space="preserve"> "" &amp; 706411045882</f>
        <v>706411045882</v>
      </c>
      <c r="C188" t="s">
        <v>696</v>
      </c>
      <c r="D188" t="s">
        <v>731</v>
      </c>
      <c r="F188" t="s">
        <v>135</v>
      </c>
      <c r="G188">
        <v>1</v>
      </c>
      <c r="H188">
        <v>1</v>
      </c>
      <c r="I188" t="s">
        <v>97</v>
      </c>
      <c r="J188" s="32">
        <v>16</v>
      </c>
      <c r="K188" s="32">
        <v>48</v>
      </c>
      <c r="L188">
        <v>0</v>
      </c>
      <c r="N188">
        <v>0</v>
      </c>
      <c r="T188">
        <v>24</v>
      </c>
      <c r="U188">
        <v>0.75</v>
      </c>
      <c r="W188">
        <v>1.1000000000000001</v>
      </c>
      <c r="X188">
        <v>1</v>
      </c>
      <c r="AB188">
        <v>3.1099999999999999E-2</v>
      </c>
      <c r="AC188">
        <v>1.1659999999999999</v>
      </c>
      <c r="AK188" t="s">
        <v>98</v>
      </c>
      <c r="AM188" t="s">
        <v>98</v>
      </c>
      <c r="AN188" t="s">
        <v>98</v>
      </c>
      <c r="AO188" t="s">
        <v>98</v>
      </c>
      <c r="AP188" t="s">
        <v>99</v>
      </c>
      <c r="AQ188" t="s">
        <v>102</v>
      </c>
      <c r="AV188" t="s">
        <v>98</v>
      </c>
      <c r="AX188" t="s">
        <v>150</v>
      </c>
      <c r="BF188" t="s">
        <v>732</v>
      </c>
      <c r="BG188" t="s">
        <v>98</v>
      </c>
      <c r="BH188" t="s">
        <v>98</v>
      </c>
      <c r="BI188" t="s">
        <v>98</v>
      </c>
      <c r="CB188" t="s">
        <v>150</v>
      </c>
      <c r="CL188" t="s">
        <v>98</v>
      </c>
      <c r="CM188" t="s">
        <v>98</v>
      </c>
      <c r="CP188" s="1">
        <v>43595</v>
      </c>
    </row>
    <row r="189" spans="1:94" x14ac:dyDescent="0.25">
      <c r="A189" s="4" t="s">
        <v>733</v>
      </c>
      <c r="B189" t="str">
        <f xml:space="preserve"> "" &amp; 706411053450</f>
        <v>706411053450</v>
      </c>
      <c r="C189" t="s">
        <v>696</v>
      </c>
      <c r="D189" t="s">
        <v>734</v>
      </c>
      <c r="F189" t="s">
        <v>135</v>
      </c>
      <c r="G189">
        <v>1</v>
      </c>
      <c r="H189">
        <v>1</v>
      </c>
      <c r="I189" t="s">
        <v>97</v>
      </c>
      <c r="J189" s="32">
        <v>16</v>
      </c>
      <c r="K189" s="32">
        <v>48</v>
      </c>
      <c r="L189">
        <v>0</v>
      </c>
      <c r="N189">
        <v>0</v>
      </c>
      <c r="T189">
        <v>24</v>
      </c>
      <c r="U189">
        <v>0.75</v>
      </c>
      <c r="W189">
        <v>1.1000000000000001</v>
      </c>
      <c r="X189">
        <v>1</v>
      </c>
      <c r="AB189">
        <v>3.1099999999999999E-2</v>
      </c>
      <c r="AC189">
        <v>1.1659999999999999</v>
      </c>
      <c r="AK189" t="s">
        <v>98</v>
      </c>
      <c r="AM189" t="s">
        <v>98</v>
      </c>
      <c r="AN189" t="s">
        <v>98</v>
      </c>
      <c r="AO189" t="s">
        <v>98</v>
      </c>
      <c r="AP189" t="s">
        <v>99</v>
      </c>
      <c r="AQ189" t="s">
        <v>102</v>
      </c>
      <c r="AV189" t="s">
        <v>98</v>
      </c>
      <c r="AX189" t="s">
        <v>703</v>
      </c>
      <c r="BF189" t="s">
        <v>735</v>
      </c>
      <c r="BG189" t="s">
        <v>98</v>
      </c>
      <c r="BH189" t="s">
        <v>98</v>
      </c>
      <c r="BI189" t="s">
        <v>98</v>
      </c>
      <c r="CB189" t="s">
        <v>703</v>
      </c>
      <c r="CL189" t="s">
        <v>98</v>
      </c>
      <c r="CM189" t="s">
        <v>98</v>
      </c>
      <c r="CP189" s="1">
        <v>43595</v>
      </c>
    </row>
    <row r="190" spans="1:94" x14ac:dyDescent="0.25">
      <c r="A190" s="4" t="s">
        <v>736</v>
      </c>
      <c r="B190" t="str">
        <f xml:space="preserve"> "" &amp; 706411045776</f>
        <v>706411045776</v>
      </c>
      <c r="C190" t="s">
        <v>696</v>
      </c>
      <c r="D190" t="s">
        <v>737</v>
      </c>
      <c r="F190" t="s">
        <v>135</v>
      </c>
      <c r="G190">
        <v>1</v>
      </c>
      <c r="H190">
        <v>1</v>
      </c>
      <c r="I190" t="s">
        <v>97</v>
      </c>
      <c r="J190" s="32">
        <v>16</v>
      </c>
      <c r="K190" s="32">
        <v>48</v>
      </c>
      <c r="L190">
        <v>0</v>
      </c>
      <c r="N190">
        <v>0</v>
      </c>
      <c r="T190">
        <v>24</v>
      </c>
      <c r="U190">
        <v>0.75</v>
      </c>
      <c r="W190">
        <v>1.1000000000000001</v>
      </c>
      <c r="X190">
        <v>1</v>
      </c>
      <c r="AB190">
        <v>3.1099999999999999E-2</v>
      </c>
      <c r="AC190">
        <v>1.1659999999999999</v>
      </c>
      <c r="AK190" t="s">
        <v>98</v>
      </c>
      <c r="AM190" t="s">
        <v>98</v>
      </c>
      <c r="AN190" t="s">
        <v>98</v>
      </c>
      <c r="AO190" t="s">
        <v>98</v>
      </c>
      <c r="AP190" t="s">
        <v>99</v>
      </c>
      <c r="AQ190" t="s">
        <v>102</v>
      </c>
      <c r="AV190" t="s">
        <v>98</v>
      </c>
      <c r="AX190" t="s">
        <v>245</v>
      </c>
      <c r="BF190" t="s">
        <v>738</v>
      </c>
      <c r="BG190" t="s">
        <v>98</v>
      </c>
      <c r="BH190" t="s">
        <v>98</v>
      </c>
      <c r="BI190" t="s">
        <v>98</v>
      </c>
      <c r="CB190" t="s">
        <v>245</v>
      </c>
      <c r="CL190" t="s">
        <v>98</v>
      </c>
      <c r="CM190" t="s">
        <v>98</v>
      </c>
      <c r="CP190" s="1">
        <v>43595</v>
      </c>
    </row>
    <row r="191" spans="1:94" x14ac:dyDescent="0.25">
      <c r="A191" s="4" t="s">
        <v>739</v>
      </c>
      <c r="B191" t="str">
        <f xml:space="preserve"> "" &amp; 706411045929</f>
        <v>706411045929</v>
      </c>
      <c r="C191" t="s">
        <v>740</v>
      </c>
      <c r="D191" t="s">
        <v>741</v>
      </c>
      <c r="F191" t="s">
        <v>135</v>
      </c>
      <c r="G191">
        <v>1</v>
      </c>
      <c r="H191">
        <v>1</v>
      </c>
      <c r="I191" t="s">
        <v>97</v>
      </c>
      <c r="J191" s="32">
        <v>15</v>
      </c>
      <c r="K191" s="32">
        <v>45</v>
      </c>
      <c r="L191">
        <v>0</v>
      </c>
      <c r="N191">
        <v>0</v>
      </c>
      <c r="T191">
        <v>24</v>
      </c>
      <c r="U191">
        <v>0.75</v>
      </c>
      <c r="W191">
        <v>1.1000000000000001</v>
      </c>
      <c r="X191">
        <v>1</v>
      </c>
      <c r="AB191">
        <v>3.1099999999999999E-2</v>
      </c>
      <c r="AC191">
        <v>1.1659999999999999</v>
      </c>
      <c r="AK191" t="s">
        <v>98</v>
      </c>
      <c r="AM191" t="s">
        <v>98</v>
      </c>
      <c r="AN191" t="s">
        <v>98</v>
      </c>
      <c r="AO191" t="s">
        <v>98</v>
      </c>
      <c r="AP191" t="s">
        <v>99</v>
      </c>
      <c r="AQ191" t="s">
        <v>102</v>
      </c>
      <c r="AV191" t="s">
        <v>98</v>
      </c>
      <c r="AX191" t="s">
        <v>306</v>
      </c>
      <c r="BF191" t="s">
        <v>742</v>
      </c>
      <c r="BG191" t="s">
        <v>98</v>
      </c>
      <c r="BH191" t="s">
        <v>98</v>
      </c>
      <c r="BI191" t="s">
        <v>98</v>
      </c>
      <c r="BK191" t="s">
        <v>138</v>
      </c>
      <c r="CA191" t="s">
        <v>743</v>
      </c>
      <c r="CB191" t="s">
        <v>306</v>
      </c>
      <c r="CL191" t="s">
        <v>98</v>
      </c>
      <c r="CM191" t="s">
        <v>98</v>
      </c>
      <c r="CN191" t="s">
        <v>700</v>
      </c>
      <c r="CP191" s="1">
        <v>43595</v>
      </c>
    </row>
    <row r="192" spans="1:94" x14ac:dyDescent="0.25">
      <c r="A192" s="4" t="s">
        <v>744</v>
      </c>
      <c r="B192" t="str">
        <f xml:space="preserve"> "" &amp; 706411045899</f>
        <v>706411045899</v>
      </c>
      <c r="C192" t="s">
        <v>706</v>
      </c>
      <c r="D192" t="s">
        <v>745</v>
      </c>
      <c r="F192" t="s">
        <v>135</v>
      </c>
      <c r="G192">
        <v>1</v>
      </c>
      <c r="H192">
        <v>1</v>
      </c>
      <c r="I192" t="s">
        <v>97</v>
      </c>
      <c r="J192" s="32">
        <v>22</v>
      </c>
      <c r="K192" s="32">
        <v>66</v>
      </c>
      <c r="L192">
        <v>0</v>
      </c>
      <c r="N192">
        <v>0</v>
      </c>
      <c r="T192">
        <v>36</v>
      </c>
      <c r="U192">
        <v>0.75</v>
      </c>
      <c r="W192">
        <v>1.65</v>
      </c>
      <c r="X192">
        <v>1</v>
      </c>
      <c r="AB192">
        <v>4.82E-2</v>
      </c>
      <c r="AC192">
        <v>1.716</v>
      </c>
      <c r="AK192" t="s">
        <v>98</v>
      </c>
      <c r="AM192" t="s">
        <v>98</v>
      </c>
      <c r="AN192" t="s">
        <v>98</v>
      </c>
      <c r="AO192" t="s">
        <v>98</v>
      </c>
      <c r="AP192" t="s">
        <v>99</v>
      </c>
      <c r="AQ192" t="s">
        <v>102</v>
      </c>
      <c r="AV192" t="s">
        <v>98</v>
      </c>
      <c r="AX192" t="s">
        <v>150</v>
      </c>
      <c r="BF192" t="s">
        <v>746</v>
      </c>
      <c r="BG192" t="s">
        <v>98</v>
      </c>
      <c r="BH192" t="s">
        <v>98</v>
      </c>
      <c r="BI192" t="s">
        <v>98</v>
      </c>
      <c r="CB192" t="s">
        <v>150</v>
      </c>
      <c r="CL192" t="s">
        <v>98</v>
      </c>
      <c r="CM192" t="s">
        <v>98</v>
      </c>
      <c r="CP192" s="1">
        <v>43595</v>
      </c>
    </row>
    <row r="193" spans="1:94" x14ac:dyDescent="0.25">
      <c r="A193" s="4" t="s">
        <v>747</v>
      </c>
      <c r="B193" t="str">
        <f xml:space="preserve"> "" &amp; 706411053467</f>
        <v>706411053467</v>
      </c>
      <c r="C193" t="s">
        <v>696</v>
      </c>
      <c r="D193" t="s">
        <v>748</v>
      </c>
      <c r="F193" t="s">
        <v>135</v>
      </c>
      <c r="G193">
        <v>1</v>
      </c>
      <c r="H193">
        <v>1</v>
      </c>
      <c r="I193" t="s">
        <v>97</v>
      </c>
      <c r="J193" s="32">
        <v>22</v>
      </c>
      <c r="K193" s="32">
        <v>66</v>
      </c>
      <c r="L193">
        <v>0</v>
      </c>
      <c r="N193">
        <v>0</v>
      </c>
      <c r="T193">
        <v>36</v>
      </c>
      <c r="U193">
        <v>0.75</v>
      </c>
      <c r="W193">
        <v>1.65</v>
      </c>
      <c r="X193">
        <v>1</v>
      </c>
      <c r="AB193">
        <v>4.82E-2</v>
      </c>
      <c r="AC193">
        <v>1.716</v>
      </c>
      <c r="AK193" t="s">
        <v>98</v>
      </c>
      <c r="AM193" t="s">
        <v>98</v>
      </c>
      <c r="AN193" t="s">
        <v>98</v>
      </c>
      <c r="AO193" t="s">
        <v>98</v>
      </c>
      <c r="AP193" t="s">
        <v>99</v>
      </c>
      <c r="AQ193" t="s">
        <v>102</v>
      </c>
      <c r="AV193" t="s">
        <v>98</v>
      </c>
      <c r="AX193" t="s">
        <v>703</v>
      </c>
      <c r="BF193" t="s">
        <v>749</v>
      </c>
      <c r="BG193" t="s">
        <v>98</v>
      </c>
      <c r="BH193" t="s">
        <v>98</v>
      </c>
      <c r="BI193" t="s">
        <v>98</v>
      </c>
      <c r="CB193" t="s">
        <v>703</v>
      </c>
      <c r="CL193" t="s">
        <v>98</v>
      </c>
      <c r="CM193" t="s">
        <v>98</v>
      </c>
      <c r="CP193" s="1">
        <v>43595</v>
      </c>
    </row>
    <row r="194" spans="1:94" x14ac:dyDescent="0.25">
      <c r="A194" s="4" t="s">
        <v>750</v>
      </c>
      <c r="B194" t="str">
        <f xml:space="preserve"> "" &amp; 706411045783</f>
        <v>706411045783</v>
      </c>
      <c r="C194" t="s">
        <v>706</v>
      </c>
      <c r="D194" t="s">
        <v>751</v>
      </c>
      <c r="F194" t="s">
        <v>135</v>
      </c>
      <c r="G194">
        <v>1</v>
      </c>
      <c r="H194">
        <v>1</v>
      </c>
      <c r="I194" t="s">
        <v>97</v>
      </c>
      <c r="J194" s="32">
        <v>22</v>
      </c>
      <c r="K194" s="32">
        <v>66</v>
      </c>
      <c r="L194">
        <v>0</v>
      </c>
      <c r="N194">
        <v>0</v>
      </c>
      <c r="T194">
        <v>36</v>
      </c>
      <c r="U194">
        <v>0.75</v>
      </c>
      <c r="W194">
        <v>1.65</v>
      </c>
      <c r="X194">
        <v>1</v>
      </c>
      <c r="AB194">
        <v>4.82E-2</v>
      </c>
      <c r="AC194">
        <v>1.716</v>
      </c>
      <c r="AK194" t="s">
        <v>98</v>
      </c>
      <c r="AM194" t="s">
        <v>98</v>
      </c>
      <c r="AN194" t="s">
        <v>98</v>
      </c>
      <c r="AO194" t="s">
        <v>98</v>
      </c>
      <c r="AP194" t="s">
        <v>99</v>
      </c>
      <c r="AQ194" t="s">
        <v>102</v>
      </c>
      <c r="AV194" t="s">
        <v>98</v>
      </c>
      <c r="AX194" t="s">
        <v>245</v>
      </c>
      <c r="BF194" t="s">
        <v>752</v>
      </c>
      <c r="BG194" t="s">
        <v>98</v>
      </c>
      <c r="BH194" t="s">
        <v>98</v>
      </c>
      <c r="BI194" t="s">
        <v>98</v>
      </c>
      <c r="CB194" t="s">
        <v>245</v>
      </c>
      <c r="CL194" t="s">
        <v>98</v>
      </c>
      <c r="CM194" t="s">
        <v>98</v>
      </c>
      <c r="CP194" s="1">
        <v>43595</v>
      </c>
    </row>
    <row r="195" spans="1:94" x14ac:dyDescent="0.25">
      <c r="A195" s="4" t="s">
        <v>753</v>
      </c>
      <c r="B195" t="str">
        <f xml:space="preserve"> "" &amp; 706411045936</f>
        <v>706411045936</v>
      </c>
      <c r="C195" t="s">
        <v>696</v>
      </c>
      <c r="D195" t="s">
        <v>754</v>
      </c>
      <c r="F195" t="s">
        <v>135</v>
      </c>
      <c r="G195">
        <v>1</v>
      </c>
      <c r="H195">
        <v>1</v>
      </c>
      <c r="I195" t="s">
        <v>97</v>
      </c>
      <c r="J195" s="32">
        <v>20</v>
      </c>
      <c r="K195" s="32">
        <v>60</v>
      </c>
      <c r="L195">
        <v>0</v>
      </c>
      <c r="N195">
        <v>0</v>
      </c>
      <c r="T195">
        <v>36</v>
      </c>
      <c r="U195">
        <v>0.75</v>
      </c>
      <c r="W195">
        <v>1.65</v>
      </c>
      <c r="X195">
        <v>1</v>
      </c>
      <c r="AB195">
        <v>4.82E-2</v>
      </c>
      <c r="AC195">
        <v>1.716</v>
      </c>
      <c r="AK195" t="s">
        <v>98</v>
      </c>
      <c r="AM195" t="s">
        <v>98</v>
      </c>
      <c r="AN195" t="s">
        <v>98</v>
      </c>
      <c r="AO195" t="s">
        <v>98</v>
      </c>
      <c r="AP195" t="s">
        <v>99</v>
      </c>
      <c r="AQ195" t="s">
        <v>102</v>
      </c>
      <c r="AV195" t="s">
        <v>98</v>
      </c>
      <c r="AX195" t="s">
        <v>306</v>
      </c>
      <c r="BF195" t="s">
        <v>755</v>
      </c>
      <c r="BG195" t="s">
        <v>98</v>
      </c>
      <c r="BH195" t="s">
        <v>98</v>
      </c>
      <c r="BI195" t="s">
        <v>98</v>
      </c>
      <c r="CA195" t="s">
        <v>756</v>
      </c>
      <c r="CB195" t="s">
        <v>306</v>
      </c>
      <c r="CL195" t="s">
        <v>98</v>
      </c>
      <c r="CM195" t="s">
        <v>98</v>
      </c>
      <c r="CN195" t="s">
        <v>700</v>
      </c>
      <c r="CP195" s="1">
        <v>43595</v>
      </c>
    </row>
    <row r="196" spans="1:94" x14ac:dyDescent="0.25">
      <c r="A196" s="4" t="s">
        <v>757</v>
      </c>
      <c r="B196" t="str">
        <f xml:space="preserve"> "" &amp; 706411053474</f>
        <v>706411053474</v>
      </c>
      <c r="C196" t="s">
        <v>706</v>
      </c>
      <c r="D196" t="s">
        <v>758</v>
      </c>
      <c r="F196" t="s">
        <v>135</v>
      </c>
      <c r="G196">
        <v>1</v>
      </c>
      <c r="H196">
        <v>1</v>
      </c>
      <c r="I196" t="s">
        <v>97</v>
      </c>
      <c r="J196" s="32">
        <v>26</v>
      </c>
      <c r="K196" s="32">
        <v>78</v>
      </c>
      <c r="L196">
        <v>0</v>
      </c>
      <c r="N196">
        <v>0</v>
      </c>
      <c r="T196">
        <v>48</v>
      </c>
      <c r="U196">
        <v>0.75</v>
      </c>
      <c r="W196">
        <v>2.2440000000000002</v>
      </c>
      <c r="X196">
        <v>1</v>
      </c>
      <c r="AB196">
        <v>5.7799999999999997E-2</v>
      </c>
      <c r="AC196">
        <v>2.31</v>
      </c>
      <c r="AK196" t="s">
        <v>98</v>
      </c>
      <c r="AM196" t="s">
        <v>98</v>
      </c>
      <c r="AN196" t="s">
        <v>98</v>
      </c>
      <c r="AO196" t="s">
        <v>98</v>
      </c>
      <c r="AP196" t="s">
        <v>99</v>
      </c>
      <c r="AQ196" t="s">
        <v>102</v>
      </c>
      <c r="AV196" t="s">
        <v>98</v>
      </c>
      <c r="AX196" t="s">
        <v>703</v>
      </c>
      <c r="BF196" t="s">
        <v>759</v>
      </c>
      <c r="BG196" t="s">
        <v>98</v>
      </c>
      <c r="BH196" t="s">
        <v>98</v>
      </c>
      <c r="BI196" t="s">
        <v>98</v>
      </c>
      <c r="CB196" t="s">
        <v>703</v>
      </c>
      <c r="CL196" t="s">
        <v>98</v>
      </c>
      <c r="CM196" t="s">
        <v>98</v>
      </c>
      <c r="CP196" s="1">
        <v>43595</v>
      </c>
    </row>
    <row r="197" spans="1:94" x14ac:dyDescent="0.25">
      <c r="A197" s="4" t="s">
        <v>760</v>
      </c>
      <c r="B197" t="str">
        <f xml:space="preserve"> "" &amp; 706411045790</f>
        <v>706411045790</v>
      </c>
      <c r="C197" t="s">
        <v>706</v>
      </c>
      <c r="D197" t="s">
        <v>761</v>
      </c>
      <c r="F197" t="s">
        <v>135</v>
      </c>
      <c r="G197">
        <v>1</v>
      </c>
      <c r="H197">
        <v>1</v>
      </c>
      <c r="I197" t="s">
        <v>97</v>
      </c>
      <c r="J197" s="32">
        <v>26</v>
      </c>
      <c r="K197" s="32">
        <v>78</v>
      </c>
      <c r="L197">
        <v>0</v>
      </c>
      <c r="N197">
        <v>0</v>
      </c>
      <c r="T197">
        <v>48</v>
      </c>
      <c r="U197">
        <v>0.75</v>
      </c>
      <c r="W197">
        <v>2.2440000000000002</v>
      </c>
      <c r="X197">
        <v>1</v>
      </c>
      <c r="AB197">
        <v>5.7799999999999997E-2</v>
      </c>
      <c r="AC197">
        <v>2.31</v>
      </c>
      <c r="AK197" t="s">
        <v>98</v>
      </c>
      <c r="AM197" t="s">
        <v>98</v>
      </c>
      <c r="AN197" t="s">
        <v>98</v>
      </c>
      <c r="AO197" t="s">
        <v>98</v>
      </c>
      <c r="AP197" t="s">
        <v>762</v>
      </c>
      <c r="AQ197" t="s">
        <v>102</v>
      </c>
      <c r="AV197" t="s">
        <v>98</v>
      </c>
      <c r="AX197" t="s">
        <v>245</v>
      </c>
      <c r="BF197" t="s">
        <v>763</v>
      </c>
      <c r="BG197" t="s">
        <v>98</v>
      </c>
      <c r="BH197" t="s">
        <v>98</v>
      </c>
      <c r="BI197" t="s">
        <v>98</v>
      </c>
      <c r="CB197" t="s">
        <v>245</v>
      </c>
      <c r="CL197" t="s">
        <v>98</v>
      </c>
      <c r="CM197" t="s">
        <v>98</v>
      </c>
      <c r="CP197" s="1">
        <v>43595</v>
      </c>
    </row>
    <row r="198" spans="1:94" x14ac:dyDescent="0.25">
      <c r="A198" s="4" t="s">
        <v>764</v>
      </c>
      <c r="B198" t="str">
        <f xml:space="preserve"> "" &amp; 706411045943</f>
        <v>706411045943</v>
      </c>
      <c r="C198" t="s">
        <v>706</v>
      </c>
      <c r="D198" t="s">
        <v>765</v>
      </c>
      <c r="F198" t="s">
        <v>135</v>
      </c>
      <c r="G198">
        <v>1</v>
      </c>
      <c r="H198">
        <v>1</v>
      </c>
      <c r="I198" t="s">
        <v>97</v>
      </c>
      <c r="J198" s="32">
        <v>24</v>
      </c>
      <c r="K198" s="32">
        <v>72</v>
      </c>
      <c r="L198">
        <v>0</v>
      </c>
      <c r="N198">
        <v>0</v>
      </c>
      <c r="T198">
        <v>48</v>
      </c>
      <c r="U198">
        <v>0.75</v>
      </c>
      <c r="W198">
        <v>2.2440000000000002</v>
      </c>
      <c r="X198">
        <v>1</v>
      </c>
      <c r="AB198">
        <v>5.7799999999999997E-2</v>
      </c>
      <c r="AC198">
        <v>2.31</v>
      </c>
      <c r="AK198" t="s">
        <v>98</v>
      </c>
      <c r="AM198" t="s">
        <v>98</v>
      </c>
      <c r="AN198" t="s">
        <v>98</v>
      </c>
      <c r="AO198" t="s">
        <v>98</v>
      </c>
      <c r="AP198" t="s">
        <v>99</v>
      </c>
      <c r="AQ198" t="s">
        <v>102</v>
      </c>
      <c r="AV198" t="s">
        <v>98</v>
      </c>
      <c r="AX198" t="s">
        <v>306</v>
      </c>
      <c r="BF198" t="s">
        <v>766</v>
      </c>
      <c r="BG198" t="s">
        <v>98</v>
      </c>
      <c r="BH198" t="s">
        <v>98</v>
      </c>
      <c r="BI198" t="s">
        <v>98</v>
      </c>
      <c r="CB198" t="s">
        <v>306</v>
      </c>
      <c r="CL198" t="s">
        <v>98</v>
      </c>
      <c r="CM198" t="s">
        <v>98</v>
      </c>
      <c r="CP198" s="1">
        <v>43595</v>
      </c>
    </row>
    <row r="199" spans="1:94" x14ac:dyDescent="0.25">
      <c r="A199" s="4" t="s">
        <v>767</v>
      </c>
      <c r="B199" t="str">
        <f xml:space="preserve"> "" &amp; 706411053481</f>
        <v>706411053481</v>
      </c>
      <c r="C199" t="s">
        <v>706</v>
      </c>
      <c r="D199" t="s">
        <v>768</v>
      </c>
      <c r="F199" t="s">
        <v>135</v>
      </c>
      <c r="G199">
        <v>1</v>
      </c>
      <c r="H199">
        <v>1</v>
      </c>
      <c r="I199" t="s">
        <v>97</v>
      </c>
      <c r="J199" s="32">
        <v>31</v>
      </c>
      <c r="K199" s="32">
        <v>93</v>
      </c>
      <c r="L199">
        <v>0</v>
      </c>
      <c r="N199">
        <v>0</v>
      </c>
      <c r="T199">
        <v>60</v>
      </c>
      <c r="U199">
        <v>0.75</v>
      </c>
      <c r="W199">
        <v>2.8159999999999998</v>
      </c>
      <c r="X199">
        <v>1</v>
      </c>
      <c r="AB199">
        <v>7.0900000000000005E-2</v>
      </c>
      <c r="AC199">
        <v>2.9039999999999999</v>
      </c>
      <c r="AK199" t="s">
        <v>98</v>
      </c>
      <c r="AM199" t="s">
        <v>98</v>
      </c>
      <c r="AN199" t="s">
        <v>98</v>
      </c>
      <c r="AO199" t="s">
        <v>98</v>
      </c>
      <c r="AP199" t="s">
        <v>99</v>
      </c>
      <c r="AQ199" t="s">
        <v>102</v>
      </c>
      <c r="AV199" t="s">
        <v>98</v>
      </c>
      <c r="AX199" t="s">
        <v>703</v>
      </c>
      <c r="BF199" t="s">
        <v>769</v>
      </c>
      <c r="BG199" t="s">
        <v>98</v>
      </c>
      <c r="BH199" t="s">
        <v>98</v>
      </c>
      <c r="BI199" t="s">
        <v>98</v>
      </c>
      <c r="CB199" t="s">
        <v>703</v>
      </c>
      <c r="CL199" t="s">
        <v>98</v>
      </c>
      <c r="CM199" t="s">
        <v>98</v>
      </c>
      <c r="CP199" s="1">
        <v>43595</v>
      </c>
    </row>
    <row r="200" spans="1:94" x14ac:dyDescent="0.25">
      <c r="A200" s="4" t="s">
        <v>770</v>
      </c>
      <c r="B200" t="str">
        <f xml:space="preserve"> "" &amp; 706411045806</f>
        <v>706411045806</v>
      </c>
      <c r="C200" t="s">
        <v>706</v>
      </c>
      <c r="D200" t="s">
        <v>771</v>
      </c>
      <c r="F200" t="s">
        <v>135</v>
      </c>
      <c r="G200">
        <v>1</v>
      </c>
      <c r="H200">
        <v>1</v>
      </c>
      <c r="I200" t="s">
        <v>97</v>
      </c>
      <c r="J200" s="32">
        <v>31</v>
      </c>
      <c r="K200" s="32">
        <v>93</v>
      </c>
      <c r="L200">
        <v>0</v>
      </c>
      <c r="N200">
        <v>0</v>
      </c>
      <c r="T200">
        <v>60</v>
      </c>
      <c r="U200">
        <v>0.75</v>
      </c>
      <c r="W200">
        <v>2.8159999999999998</v>
      </c>
      <c r="X200">
        <v>1</v>
      </c>
      <c r="AB200">
        <v>7.0900000000000005E-2</v>
      </c>
      <c r="AC200">
        <v>2.9039999999999999</v>
      </c>
      <c r="AK200" t="s">
        <v>98</v>
      </c>
      <c r="AM200" t="s">
        <v>98</v>
      </c>
      <c r="AN200" t="s">
        <v>98</v>
      </c>
      <c r="AO200" t="s">
        <v>98</v>
      </c>
      <c r="AP200" t="s">
        <v>99</v>
      </c>
      <c r="AQ200" t="s">
        <v>102</v>
      </c>
      <c r="AV200" t="s">
        <v>98</v>
      </c>
      <c r="AX200" t="s">
        <v>245</v>
      </c>
      <c r="BF200" t="s">
        <v>772</v>
      </c>
      <c r="BG200" t="s">
        <v>98</v>
      </c>
      <c r="BH200" t="s">
        <v>98</v>
      </c>
      <c r="BI200" t="s">
        <v>98</v>
      </c>
      <c r="CB200" t="s">
        <v>245</v>
      </c>
      <c r="CL200" t="s">
        <v>98</v>
      </c>
      <c r="CM200" t="s">
        <v>98</v>
      </c>
      <c r="CP200" s="1">
        <v>43595</v>
      </c>
    </row>
    <row r="201" spans="1:94" x14ac:dyDescent="0.25">
      <c r="A201" s="4" t="s">
        <v>773</v>
      </c>
      <c r="B201" t="str">
        <f xml:space="preserve"> "" &amp; 706411045950</f>
        <v>706411045950</v>
      </c>
      <c r="C201" t="s">
        <v>706</v>
      </c>
      <c r="D201" t="s">
        <v>774</v>
      </c>
      <c r="F201" t="s">
        <v>135</v>
      </c>
      <c r="G201">
        <v>1</v>
      </c>
      <c r="H201">
        <v>1</v>
      </c>
      <c r="I201" t="s">
        <v>97</v>
      </c>
      <c r="J201" s="32">
        <v>31</v>
      </c>
      <c r="K201" s="32">
        <v>93</v>
      </c>
      <c r="L201">
        <v>0</v>
      </c>
      <c r="N201">
        <v>0</v>
      </c>
      <c r="T201">
        <v>60</v>
      </c>
      <c r="U201">
        <v>0.75</v>
      </c>
      <c r="W201">
        <v>2.8159999999999998</v>
      </c>
      <c r="X201">
        <v>1</v>
      </c>
      <c r="AB201">
        <v>7.0900000000000005E-2</v>
      </c>
      <c r="AC201">
        <v>2.9039999999999999</v>
      </c>
      <c r="AK201" t="s">
        <v>98</v>
      </c>
      <c r="AM201" t="s">
        <v>98</v>
      </c>
      <c r="AN201" t="s">
        <v>98</v>
      </c>
      <c r="AO201" t="s">
        <v>98</v>
      </c>
      <c r="AP201" t="s">
        <v>99</v>
      </c>
      <c r="AQ201" t="s">
        <v>102</v>
      </c>
      <c r="AV201" t="s">
        <v>98</v>
      </c>
      <c r="AX201" t="s">
        <v>306</v>
      </c>
      <c r="BF201" t="s">
        <v>775</v>
      </c>
      <c r="BG201" t="s">
        <v>98</v>
      </c>
      <c r="BH201" t="s">
        <v>98</v>
      </c>
      <c r="BI201" t="s">
        <v>98</v>
      </c>
      <c r="CB201" t="s">
        <v>306</v>
      </c>
      <c r="CL201" t="s">
        <v>98</v>
      </c>
      <c r="CM201" t="s">
        <v>98</v>
      </c>
      <c r="CP201" s="1">
        <v>43595</v>
      </c>
    </row>
    <row r="202" spans="1:94" x14ac:dyDescent="0.25">
      <c r="A202" s="4" t="s">
        <v>776</v>
      </c>
      <c r="B202" t="str">
        <f xml:space="preserve"> "" &amp; 706411053498</f>
        <v>706411053498</v>
      </c>
      <c r="C202" t="s">
        <v>706</v>
      </c>
      <c r="D202" t="s">
        <v>777</v>
      </c>
      <c r="F202" t="s">
        <v>135</v>
      </c>
      <c r="G202">
        <v>1</v>
      </c>
      <c r="H202">
        <v>1</v>
      </c>
      <c r="I202" t="s">
        <v>97</v>
      </c>
      <c r="J202" s="32">
        <v>36</v>
      </c>
      <c r="K202" s="32">
        <v>108</v>
      </c>
      <c r="L202">
        <v>0</v>
      </c>
      <c r="N202">
        <v>0</v>
      </c>
      <c r="T202">
        <v>72</v>
      </c>
      <c r="U202">
        <v>0.75</v>
      </c>
      <c r="W202">
        <v>3.3439999999999999</v>
      </c>
      <c r="X202">
        <v>1</v>
      </c>
      <c r="AB202">
        <v>0.1154</v>
      </c>
      <c r="AC202">
        <v>3.52</v>
      </c>
      <c r="AK202" t="s">
        <v>98</v>
      </c>
      <c r="AM202" t="s">
        <v>98</v>
      </c>
      <c r="AN202" t="s">
        <v>98</v>
      </c>
      <c r="AO202" t="s">
        <v>98</v>
      </c>
      <c r="AP202" t="s">
        <v>99</v>
      </c>
      <c r="AQ202" t="s">
        <v>102</v>
      </c>
      <c r="AV202" t="s">
        <v>98</v>
      </c>
      <c r="AX202" t="s">
        <v>703</v>
      </c>
      <c r="BF202" t="s">
        <v>778</v>
      </c>
      <c r="BG202" t="s">
        <v>98</v>
      </c>
      <c r="BH202" t="s">
        <v>98</v>
      </c>
      <c r="BI202" t="s">
        <v>98</v>
      </c>
      <c r="CB202" t="s">
        <v>703</v>
      </c>
      <c r="CL202" t="s">
        <v>98</v>
      </c>
      <c r="CM202" t="s">
        <v>98</v>
      </c>
      <c r="CP202" s="1">
        <v>43595</v>
      </c>
    </row>
    <row r="203" spans="1:94" x14ac:dyDescent="0.25">
      <c r="A203" s="4" t="s">
        <v>779</v>
      </c>
      <c r="B203" t="str">
        <f xml:space="preserve"> "" &amp; 706411045813</f>
        <v>706411045813</v>
      </c>
      <c r="C203" t="s">
        <v>706</v>
      </c>
      <c r="D203" t="s">
        <v>780</v>
      </c>
      <c r="F203" t="s">
        <v>135</v>
      </c>
      <c r="G203">
        <v>1</v>
      </c>
      <c r="H203">
        <v>1</v>
      </c>
      <c r="I203" t="s">
        <v>97</v>
      </c>
      <c r="J203" s="32">
        <v>36</v>
      </c>
      <c r="K203" s="32">
        <v>108</v>
      </c>
      <c r="L203">
        <v>0</v>
      </c>
      <c r="N203">
        <v>0</v>
      </c>
      <c r="T203">
        <v>72</v>
      </c>
      <c r="U203">
        <v>0.75</v>
      </c>
      <c r="W203">
        <v>3.3439999999999999</v>
      </c>
      <c r="X203">
        <v>1</v>
      </c>
      <c r="AB203">
        <v>0.1154</v>
      </c>
      <c r="AC203">
        <v>3.52</v>
      </c>
      <c r="AK203" t="s">
        <v>98</v>
      </c>
      <c r="AM203" t="s">
        <v>98</v>
      </c>
      <c r="AN203" t="s">
        <v>98</v>
      </c>
      <c r="AO203" t="s">
        <v>98</v>
      </c>
      <c r="AP203" t="s">
        <v>99</v>
      </c>
      <c r="AQ203" t="s">
        <v>102</v>
      </c>
      <c r="AV203" t="s">
        <v>98</v>
      </c>
      <c r="AX203" t="s">
        <v>245</v>
      </c>
      <c r="BF203" t="s">
        <v>781</v>
      </c>
      <c r="BG203" t="s">
        <v>98</v>
      </c>
      <c r="BH203" t="s">
        <v>98</v>
      </c>
      <c r="BI203" t="s">
        <v>98</v>
      </c>
      <c r="CB203" t="s">
        <v>245</v>
      </c>
      <c r="CL203" t="s">
        <v>98</v>
      </c>
      <c r="CM203" t="s">
        <v>98</v>
      </c>
      <c r="CP203" s="1">
        <v>43595</v>
      </c>
    </row>
    <row r="204" spans="1:94" x14ac:dyDescent="0.25">
      <c r="A204" s="4" t="s">
        <v>782</v>
      </c>
      <c r="B204" t="str">
        <f xml:space="preserve"> "" &amp; 706411045967</f>
        <v>706411045967</v>
      </c>
      <c r="C204" t="s">
        <v>706</v>
      </c>
      <c r="D204" t="s">
        <v>783</v>
      </c>
      <c r="F204" t="s">
        <v>135</v>
      </c>
      <c r="G204">
        <v>1</v>
      </c>
      <c r="H204">
        <v>1</v>
      </c>
      <c r="I204" t="s">
        <v>97</v>
      </c>
      <c r="J204" s="32">
        <v>36</v>
      </c>
      <c r="K204" s="32">
        <v>108</v>
      </c>
      <c r="L204">
        <v>0</v>
      </c>
      <c r="N204">
        <v>0</v>
      </c>
      <c r="T204">
        <v>72</v>
      </c>
      <c r="U204">
        <v>0.75</v>
      </c>
      <c r="W204">
        <v>3.3439999999999999</v>
      </c>
      <c r="X204">
        <v>1</v>
      </c>
      <c r="AB204">
        <v>0.1154</v>
      </c>
      <c r="AC204">
        <v>3.52</v>
      </c>
      <c r="AK204" t="s">
        <v>98</v>
      </c>
      <c r="AM204" t="s">
        <v>98</v>
      </c>
      <c r="AN204" t="s">
        <v>98</v>
      </c>
      <c r="AO204" t="s">
        <v>98</v>
      </c>
      <c r="AP204" t="s">
        <v>99</v>
      </c>
      <c r="AQ204" t="s">
        <v>102</v>
      </c>
      <c r="AV204" t="s">
        <v>98</v>
      </c>
      <c r="AX204" t="s">
        <v>306</v>
      </c>
      <c r="BF204" t="s">
        <v>784</v>
      </c>
      <c r="BG204" t="s">
        <v>98</v>
      </c>
      <c r="BH204" t="s">
        <v>98</v>
      </c>
      <c r="BI204" t="s">
        <v>98</v>
      </c>
      <c r="CB204" t="s">
        <v>306</v>
      </c>
      <c r="CL204" t="s">
        <v>98</v>
      </c>
      <c r="CM204" t="s">
        <v>98</v>
      </c>
      <c r="CP204" s="1">
        <v>43595</v>
      </c>
    </row>
    <row r="205" spans="1:94" x14ac:dyDescent="0.25">
      <c r="A205" s="4" t="s">
        <v>785</v>
      </c>
      <c r="B205" t="str">
        <f xml:space="preserve"> "" &amp; 706411432224</f>
        <v>706411432224</v>
      </c>
      <c r="C205" t="s">
        <v>786</v>
      </c>
      <c r="D205" t="s">
        <v>787</v>
      </c>
      <c r="F205" t="s">
        <v>135</v>
      </c>
      <c r="G205">
        <v>1</v>
      </c>
      <c r="H205">
        <v>1</v>
      </c>
      <c r="I205" t="s">
        <v>97</v>
      </c>
      <c r="J205" s="32">
        <v>3.5</v>
      </c>
      <c r="K205" s="32">
        <v>10.5</v>
      </c>
      <c r="L205">
        <v>0</v>
      </c>
      <c r="N205">
        <v>0</v>
      </c>
      <c r="S205">
        <v>1.88</v>
      </c>
      <c r="T205">
        <v>1.1299999999999999</v>
      </c>
      <c r="U205">
        <v>1.1299999999999999</v>
      </c>
      <c r="W205">
        <v>0.17399999999999999</v>
      </c>
      <c r="X205">
        <v>1</v>
      </c>
      <c r="AB205">
        <v>2.7000000000000001E-3</v>
      </c>
      <c r="AC205">
        <v>0.183</v>
      </c>
      <c r="AK205" t="s">
        <v>98</v>
      </c>
      <c r="AM205" t="s">
        <v>98</v>
      </c>
      <c r="AN205" t="s">
        <v>98</v>
      </c>
      <c r="AO205" t="s">
        <v>98</v>
      </c>
      <c r="AP205" t="s">
        <v>99</v>
      </c>
      <c r="AQ205" t="s">
        <v>102</v>
      </c>
      <c r="AV205" t="s">
        <v>98</v>
      </c>
      <c r="AX205" t="s">
        <v>302</v>
      </c>
      <c r="BF205" t="s">
        <v>788</v>
      </c>
      <c r="BG205" t="s">
        <v>98</v>
      </c>
      <c r="BH205" t="s">
        <v>98</v>
      </c>
      <c r="BI205" t="s">
        <v>98</v>
      </c>
      <c r="CB205" t="s">
        <v>302</v>
      </c>
      <c r="CL205" t="s">
        <v>98</v>
      </c>
      <c r="CM205" t="s">
        <v>98</v>
      </c>
      <c r="CP205" s="1">
        <v>43595</v>
      </c>
    </row>
    <row r="206" spans="1:94" x14ac:dyDescent="0.25">
      <c r="A206" s="4" t="s">
        <v>789</v>
      </c>
      <c r="B206" t="str">
        <f xml:space="preserve"> "" &amp; 706411033797</f>
        <v>706411033797</v>
      </c>
      <c r="C206" t="s">
        <v>786</v>
      </c>
      <c r="D206" t="s">
        <v>790</v>
      </c>
      <c r="F206" t="s">
        <v>135</v>
      </c>
      <c r="G206">
        <v>1</v>
      </c>
      <c r="H206">
        <v>1</v>
      </c>
      <c r="I206" t="s">
        <v>97</v>
      </c>
      <c r="J206" s="32">
        <v>3.5</v>
      </c>
      <c r="K206" s="32">
        <v>10.5</v>
      </c>
      <c r="L206">
        <v>0</v>
      </c>
      <c r="N206">
        <v>0</v>
      </c>
      <c r="S206">
        <v>3.5</v>
      </c>
      <c r="U206">
        <v>0.5</v>
      </c>
      <c r="V206">
        <v>7.0000000000000007E-2</v>
      </c>
      <c r="W206">
        <v>0.18</v>
      </c>
      <c r="X206">
        <v>1</v>
      </c>
      <c r="AB206">
        <v>2.7000000000000001E-3</v>
      </c>
      <c r="AC206">
        <v>0.18</v>
      </c>
      <c r="AK206" t="s">
        <v>98</v>
      </c>
      <c r="AM206" t="s">
        <v>98</v>
      </c>
      <c r="AN206" t="s">
        <v>98</v>
      </c>
      <c r="AO206" t="s">
        <v>98</v>
      </c>
      <c r="AP206" t="s">
        <v>99</v>
      </c>
      <c r="AQ206" t="s">
        <v>102</v>
      </c>
      <c r="AV206" t="s">
        <v>98</v>
      </c>
      <c r="AX206" t="s">
        <v>150</v>
      </c>
      <c r="AZ206" t="s">
        <v>791</v>
      </c>
      <c r="BF206" t="s">
        <v>792</v>
      </c>
      <c r="BG206" t="s">
        <v>98</v>
      </c>
      <c r="BH206" t="s">
        <v>98</v>
      </c>
      <c r="BI206" t="s">
        <v>98</v>
      </c>
      <c r="BK206" t="s">
        <v>138</v>
      </c>
      <c r="CA206" t="s">
        <v>793</v>
      </c>
      <c r="CB206" t="s">
        <v>150</v>
      </c>
      <c r="CL206" t="s">
        <v>98</v>
      </c>
      <c r="CM206" t="s">
        <v>98</v>
      </c>
      <c r="CN206" t="s">
        <v>349</v>
      </c>
      <c r="CO206" s="1">
        <v>43396</v>
      </c>
      <c r="CP206" s="1">
        <v>43622</v>
      </c>
    </row>
    <row r="207" spans="1:94" x14ac:dyDescent="0.25">
      <c r="A207" s="4" t="s">
        <v>794</v>
      </c>
      <c r="B207" t="str">
        <f xml:space="preserve"> "" &amp; 706411028137</f>
        <v>706411028137</v>
      </c>
      <c r="C207" t="s">
        <v>795</v>
      </c>
      <c r="D207" t="s">
        <v>796</v>
      </c>
      <c r="F207" t="s">
        <v>135</v>
      </c>
      <c r="G207">
        <v>1</v>
      </c>
      <c r="H207">
        <v>1</v>
      </c>
      <c r="I207" t="s">
        <v>97</v>
      </c>
      <c r="J207" s="32">
        <v>7</v>
      </c>
      <c r="K207" s="32">
        <v>21</v>
      </c>
      <c r="L207">
        <v>0</v>
      </c>
      <c r="N207">
        <v>0</v>
      </c>
      <c r="S207">
        <v>1.88</v>
      </c>
      <c r="T207">
        <v>1.1299999999999999</v>
      </c>
      <c r="U207">
        <v>1.1299999999999999</v>
      </c>
      <c r="W207">
        <v>0.35</v>
      </c>
      <c r="X207">
        <v>1</v>
      </c>
      <c r="AB207">
        <v>1.0200000000000001E-2</v>
      </c>
      <c r="AC207">
        <v>0.37</v>
      </c>
      <c r="AK207" t="s">
        <v>98</v>
      </c>
      <c r="AM207" t="s">
        <v>98</v>
      </c>
      <c r="AN207" t="s">
        <v>98</v>
      </c>
      <c r="AO207" t="s">
        <v>98</v>
      </c>
      <c r="AP207" t="s">
        <v>99</v>
      </c>
      <c r="AQ207" t="s">
        <v>102</v>
      </c>
      <c r="AV207" t="s">
        <v>98</v>
      </c>
      <c r="AX207" t="s">
        <v>302</v>
      </c>
      <c r="BF207" t="s">
        <v>797</v>
      </c>
      <c r="BG207" t="s">
        <v>98</v>
      </c>
      <c r="BH207" t="s">
        <v>98</v>
      </c>
      <c r="BI207" t="s">
        <v>98</v>
      </c>
      <c r="BK207" t="s">
        <v>138</v>
      </c>
      <c r="CA207" t="s">
        <v>798</v>
      </c>
      <c r="CB207" t="s">
        <v>302</v>
      </c>
      <c r="CL207" t="s">
        <v>98</v>
      </c>
      <c r="CM207" t="s">
        <v>98</v>
      </c>
      <c r="CN207" t="s">
        <v>799</v>
      </c>
      <c r="CP207" s="1">
        <v>43595</v>
      </c>
    </row>
    <row r="208" spans="1:94" x14ac:dyDescent="0.25">
      <c r="A208" s="4" t="s">
        <v>800</v>
      </c>
      <c r="B208" t="str">
        <f xml:space="preserve"> "" &amp; 706411051012</f>
        <v>706411051012</v>
      </c>
      <c r="C208" t="s">
        <v>795</v>
      </c>
      <c r="D208" t="s">
        <v>801</v>
      </c>
      <c r="F208" t="s">
        <v>135</v>
      </c>
      <c r="G208">
        <v>1</v>
      </c>
      <c r="H208">
        <v>1</v>
      </c>
      <c r="I208" t="s">
        <v>97</v>
      </c>
      <c r="J208" s="32">
        <v>7</v>
      </c>
      <c r="K208" s="32">
        <v>21</v>
      </c>
      <c r="L208">
        <v>0</v>
      </c>
      <c r="N208">
        <v>0</v>
      </c>
      <c r="S208">
        <v>1.88</v>
      </c>
      <c r="T208">
        <v>1.1299999999999999</v>
      </c>
      <c r="U208">
        <v>1.1299999999999999</v>
      </c>
      <c r="W208">
        <v>0.35</v>
      </c>
      <c r="X208">
        <v>1</v>
      </c>
      <c r="AB208">
        <v>1.0200000000000001E-2</v>
      </c>
      <c r="AC208">
        <v>0.37</v>
      </c>
      <c r="AK208" t="s">
        <v>98</v>
      </c>
      <c r="AM208" t="s">
        <v>98</v>
      </c>
      <c r="AN208" t="s">
        <v>98</v>
      </c>
      <c r="AO208" t="s">
        <v>98</v>
      </c>
      <c r="AP208" t="s">
        <v>99</v>
      </c>
      <c r="AQ208" t="s">
        <v>102</v>
      </c>
      <c r="AV208" t="s">
        <v>98</v>
      </c>
      <c r="AX208" t="s">
        <v>311</v>
      </c>
      <c r="BF208" t="s">
        <v>802</v>
      </c>
      <c r="BG208" t="s">
        <v>98</v>
      </c>
      <c r="BH208" t="s">
        <v>98</v>
      </c>
      <c r="BI208" t="s">
        <v>98</v>
      </c>
      <c r="BJ208" t="s">
        <v>291</v>
      </c>
      <c r="BK208" t="s">
        <v>292</v>
      </c>
      <c r="CA208" t="s">
        <v>798</v>
      </c>
      <c r="CB208" t="s">
        <v>311</v>
      </c>
      <c r="CL208" t="s">
        <v>98</v>
      </c>
      <c r="CM208" t="s">
        <v>98</v>
      </c>
      <c r="CN208" t="s">
        <v>799</v>
      </c>
      <c r="CO208" s="1">
        <v>43477</v>
      </c>
      <c r="CP208" s="1">
        <v>43595</v>
      </c>
    </row>
    <row r="209" spans="1:94" x14ac:dyDescent="0.25">
      <c r="A209" s="4" t="s">
        <v>803</v>
      </c>
      <c r="B209" t="str">
        <f xml:space="preserve"> "" &amp; 706411027888</f>
        <v>706411027888</v>
      </c>
      <c r="C209" t="s">
        <v>795</v>
      </c>
      <c r="D209" t="s">
        <v>4467</v>
      </c>
      <c r="F209" t="s">
        <v>135</v>
      </c>
      <c r="G209">
        <v>1</v>
      </c>
      <c r="H209">
        <v>1</v>
      </c>
      <c r="I209" t="s">
        <v>97</v>
      </c>
      <c r="J209" s="32">
        <v>7</v>
      </c>
      <c r="K209" s="32">
        <v>21</v>
      </c>
      <c r="L209">
        <v>0</v>
      </c>
      <c r="N209">
        <v>0</v>
      </c>
      <c r="S209">
        <v>1.88</v>
      </c>
      <c r="T209">
        <v>1.1299999999999999</v>
      </c>
      <c r="U209">
        <v>1.1299999999999999</v>
      </c>
      <c r="V209">
        <v>0.37</v>
      </c>
      <c r="W209">
        <v>0.35</v>
      </c>
      <c r="X209">
        <v>1</v>
      </c>
      <c r="Y209">
        <v>13</v>
      </c>
      <c r="Z209">
        <v>23</v>
      </c>
      <c r="AA209">
        <v>23</v>
      </c>
      <c r="AB209">
        <v>3.98</v>
      </c>
      <c r="AC209">
        <v>0.37</v>
      </c>
      <c r="AK209" t="s">
        <v>98</v>
      </c>
      <c r="AM209" t="s">
        <v>98</v>
      </c>
      <c r="AN209" t="s">
        <v>98</v>
      </c>
      <c r="AO209" t="s">
        <v>98</v>
      </c>
      <c r="AP209" t="s">
        <v>99</v>
      </c>
      <c r="AQ209" t="s">
        <v>102</v>
      </c>
      <c r="AV209" t="s">
        <v>98</v>
      </c>
      <c r="AX209" t="s">
        <v>136</v>
      </c>
      <c r="BF209" t="s">
        <v>804</v>
      </c>
      <c r="BG209" t="s">
        <v>98</v>
      </c>
      <c r="BH209" t="s">
        <v>98</v>
      </c>
      <c r="BI209" t="s">
        <v>98</v>
      </c>
      <c r="BK209" t="s">
        <v>138</v>
      </c>
      <c r="CA209" t="s">
        <v>798</v>
      </c>
      <c r="CB209" t="s">
        <v>136</v>
      </c>
      <c r="CL209" t="s">
        <v>98</v>
      </c>
      <c r="CM209" t="s">
        <v>98</v>
      </c>
      <c r="CN209" t="s">
        <v>799</v>
      </c>
      <c r="CO209" s="1">
        <v>38457</v>
      </c>
      <c r="CP209" s="1">
        <v>43595</v>
      </c>
    </row>
    <row r="210" spans="1:94" x14ac:dyDescent="0.25">
      <c r="A210" s="4" t="s">
        <v>805</v>
      </c>
      <c r="B210" t="str">
        <f xml:space="preserve"> "" &amp; 706411027895</f>
        <v>706411027895</v>
      </c>
      <c r="C210" t="s">
        <v>795</v>
      </c>
      <c r="D210" t="s">
        <v>4466</v>
      </c>
      <c r="F210" t="s">
        <v>135</v>
      </c>
      <c r="G210">
        <v>1</v>
      </c>
      <c r="H210">
        <v>1</v>
      </c>
      <c r="I210" t="s">
        <v>97</v>
      </c>
      <c r="J210" s="32">
        <v>7</v>
      </c>
      <c r="K210" s="32">
        <v>21</v>
      </c>
      <c r="L210">
        <v>0</v>
      </c>
      <c r="N210">
        <v>0</v>
      </c>
      <c r="S210">
        <v>1.88</v>
      </c>
      <c r="T210">
        <v>1.1299999999999999</v>
      </c>
      <c r="U210">
        <v>1.1299999999999999</v>
      </c>
      <c r="V210">
        <v>0.37</v>
      </c>
      <c r="W210">
        <v>0.35</v>
      </c>
      <c r="X210">
        <v>1</v>
      </c>
      <c r="Y210">
        <v>5.75</v>
      </c>
      <c r="Z210">
        <v>9.1300000000000008</v>
      </c>
      <c r="AA210">
        <v>9.1300000000000008</v>
      </c>
      <c r="AB210">
        <v>0.28000000000000003</v>
      </c>
      <c r="AC210">
        <v>0.37</v>
      </c>
      <c r="AK210" t="s">
        <v>98</v>
      </c>
      <c r="AM210" t="s">
        <v>98</v>
      </c>
      <c r="AN210" t="s">
        <v>98</v>
      </c>
      <c r="AO210" t="s">
        <v>98</v>
      </c>
      <c r="AP210" t="s">
        <v>99</v>
      </c>
      <c r="AQ210" t="s">
        <v>102</v>
      </c>
      <c r="AV210" t="s">
        <v>98</v>
      </c>
      <c r="AX210" t="s">
        <v>317</v>
      </c>
      <c r="BF210" t="s">
        <v>806</v>
      </c>
      <c r="BG210" t="s">
        <v>98</v>
      </c>
      <c r="BH210" t="s">
        <v>98</v>
      </c>
      <c r="BI210" t="s">
        <v>98</v>
      </c>
      <c r="BK210" t="s">
        <v>138</v>
      </c>
      <c r="CA210" t="s">
        <v>798</v>
      </c>
      <c r="CB210" t="s">
        <v>317</v>
      </c>
      <c r="CL210" t="s">
        <v>98</v>
      </c>
      <c r="CM210" t="s">
        <v>98</v>
      </c>
      <c r="CN210" t="s">
        <v>799</v>
      </c>
      <c r="CO210" s="1">
        <v>38457</v>
      </c>
      <c r="CP210" s="1">
        <v>43595</v>
      </c>
    </row>
    <row r="211" spans="1:94" x14ac:dyDescent="0.25">
      <c r="A211" s="4" t="s">
        <v>807</v>
      </c>
      <c r="B211" t="str">
        <f xml:space="preserve"> "" &amp; 706411034978</f>
        <v>706411034978</v>
      </c>
      <c r="C211" t="s">
        <v>795</v>
      </c>
      <c r="D211" t="s">
        <v>808</v>
      </c>
      <c r="F211" t="s">
        <v>135</v>
      </c>
      <c r="G211">
        <v>1</v>
      </c>
      <c r="H211">
        <v>1</v>
      </c>
      <c r="I211" t="s">
        <v>97</v>
      </c>
      <c r="J211" s="32">
        <v>7</v>
      </c>
      <c r="K211" s="32">
        <v>21</v>
      </c>
      <c r="L211">
        <v>0</v>
      </c>
      <c r="N211">
        <v>0</v>
      </c>
      <c r="S211">
        <v>1.88</v>
      </c>
      <c r="T211">
        <v>1.1299999999999999</v>
      </c>
      <c r="U211">
        <v>1.1299999999999999</v>
      </c>
      <c r="W211">
        <v>0.35</v>
      </c>
      <c r="X211">
        <v>1</v>
      </c>
      <c r="Y211">
        <v>5.75</v>
      </c>
      <c r="Z211">
        <v>9.1300000000000008</v>
      </c>
      <c r="AA211">
        <v>9.1300000000000008</v>
      </c>
      <c r="AB211">
        <v>0.28000000000000003</v>
      </c>
      <c r="AC211">
        <v>0.37</v>
      </c>
      <c r="AK211" t="s">
        <v>98</v>
      </c>
      <c r="AM211" t="s">
        <v>98</v>
      </c>
      <c r="AN211" t="s">
        <v>98</v>
      </c>
      <c r="AO211" t="s">
        <v>98</v>
      </c>
      <c r="AP211" t="s">
        <v>99</v>
      </c>
      <c r="AQ211" t="s">
        <v>102</v>
      </c>
      <c r="AV211" t="s">
        <v>98</v>
      </c>
      <c r="AX211" t="s">
        <v>142</v>
      </c>
      <c r="BF211" t="s">
        <v>809</v>
      </c>
      <c r="BG211" t="s">
        <v>98</v>
      </c>
      <c r="BH211" t="s">
        <v>98</v>
      </c>
      <c r="BI211" t="s">
        <v>98</v>
      </c>
      <c r="BK211" t="s">
        <v>138</v>
      </c>
      <c r="CA211" t="s">
        <v>798</v>
      </c>
      <c r="CB211" t="s">
        <v>142</v>
      </c>
      <c r="CL211" t="s">
        <v>98</v>
      </c>
      <c r="CM211" t="s">
        <v>98</v>
      </c>
      <c r="CN211" t="s">
        <v>799</v>
      </c>
      <c r="CO211" s="1">
        <v>39728</v>
      </c>
      <c r="CP211" s="1">
        <v>43595</v>
      </c>
    </row>
    <row r="212" spans="1:94" x14ac:dyDescent="0.25">
      <c r="A212" s="4" t="s">
        <v>810</v>
      </c>
      <c r="B212" t="str">
        <f xml:space="preserve"> "" &amp; 706411028090</f>
        <v>706411028090</v>
      </c>
      <c r="C212" t="s">
        <v>795</v>
      </c>
      <c r="D212" t="s">
        <v>811</v>
      </c>
      <c r="F212" t="s">
        <v>135</v>
      </c>
      <c r="G212">
        <v>1</v>
      </c>
      <c r="H212">
        <v>1</v>
      </c>
      <c r="I212" t="s">
        <v>97</v>
      </c>
      <c r="J212" s="32">
        <v>7</v>
      </c>
      <c r="K212" s="32">
        <v>21</v>
      </c>
      <c r="L212">
        <v>0</v>
      </c>
      <c r="N212">
        <v>0</v>
      </c>
      <c r="S212">
        <v>1.88</v>
      </c>
      <c r="T212">
        <v>1.1299999999999999</v>
      </c>
      <c r="U212">
        <v>1.1299999999999999</v>
      </c>
      <c r="V212">
        <v>0.37</v>
      </c>
      <c r="W212">
        <v>0.35</v>
      </c>
      <c r="X212">
        <v>1</v>
      </c>
      <c r="Y212">
        <v>13</v>
      </c>
      <c r="Z212">
        <v>23</v>
      </c>
      <c r="AA212">
        <v>23</v>
      </c>
      <c r="AB212">
        <v>3.98</v>
      </c>
      <c r="AC212">
        <v>0.37</v>
      </c>
      <c r="AK212" t="s">
        <v>98</v>
      </c>
      <c r="AM212" t="s">
        <v>98</v>
      </c>
      <c r="AN212" t="s">
        <v>98</v>
      </c>
      <c r="AO212" t="s">
        <v>98</v>
      </c>
      <c r="AP212" t="s">
        <v>99</v>
      </c>
      <c r="AQ212" t="s">
        <v>102</v>
      </c>
      <c r="AV212" t="s">
        <v>98</v>
      </c>
      <c r="AX212" t="s">
        <v>146</v>
      </c>
      <c r="BF212" t="s">
        <v>812</v>
      </c>
      <c r="BG212" t="s">
        <v>98</v>
      </c>
      <c r="BH212" t="s">
        <v>98</v>
      </c>
      <c r="BI212" t="s">
        <v>98</v>
      </c>
      <c r="BK212" t="s">
        <v>138</v>
      </c>
      <c r="CA212" t="s">
        <v>798</v>
      </c>
      <c r="CB212" t="s">
        <v>146</v>
      </c>
      <c r="CL212" t="s">
        <v>98</v>
      </c>
      <c r="CM212" t="s">
        <v>98</v>
      </c>
      <c r="CN212" t="s">
        <v>799</v>
      </c>
      <c r="CO212" s="1">
        <v>38457</v>
      </c>
      <c r="CP212" s="1">
        <v>43595</v>
      </c>
    </row>
    <row r="213" spans="1:94" x14ac:dyDescent="0.25">
      <c r="A213" s="4" t="s">
        <v>813</v>
      </c>
      <c r="B213" t="str">
        <f xml:space="preserve"> "" &amp; 706411028045</f>
        <v>706411028045</v>
      </c>
      <c r="C213" t="s">
        <v>795</v>
      </c>
      <c r="D213" t="s">
        <v>814</v>
      </c>
      <c r="F213" t="s">
        <v>135</v>
      </c>
      <c r="G213">
        <v>1</v>
      </c>
      <c r="H213">
        <v>1</v>
      </c>
      <c r="I213" t="s">
        <v>97</v>
      </c>
      <c r="J213" s="32">
        <v>7</v>
      </c>
      <c r="K213" s="32">
        <v>21</v>
      </c>
      <c r="L213">
        <v>0</v>
      </c>
      <c r="N213">
        <v>0</v>
      </c>
      <c r="S213">
        <v>1.88</v>
      </c>
      <c r="T213">
        <v>1.1299999999999999</v>
      </c>
      <c r="U213">
        <v>1.1299999999999999</v>
      </c>
      <c r="V213">
        <v>0.37</v>
      </c>
      <c r="W213">
        <v>0.35</v>
      </c>
      <c r="X213">
        <v>1</v>
      </c>
      <c r="Y213">
        <v>5.75</v>
      </c>
      <c r="Z213">
        <v>9.1300000000000008</v>
      </c>
      <c r="AA213">
        <v>9.1300000000000008</v>
      </c>
      <c r="AB213">
        <v>0.28000000000000003</v>
      </c>
      <c r="AC213">
        <v>0.37</v>
      </c>
      <c r="AK213" t="s">
        <v>98</v>
      </c>
      <c r="AM213" t="s">
        <v>98</v>
      </c>
      <c r="AN213" t="s">
        <v>98</v>
      </c>
      <c r="AO213" t="s">
        <v>98</v>
      </c>
      <c r="AP213" t="s">
        <v>99</v>
      </c>
      <c r="AQ213" t="s">
        <v>102</v>
      </c>
      <c r="AV213" t="s">
        <v>98</v>
      </c>
      <c r="AX213" t="s">
        <v>150</v>
      </c>
      <c r="BF213" t="s">
        <v>815</v>
      </c>
      <c r="BG213" t="s">
        <v>98</v>
      </c>
      <c r="BH213" t="s">
        <v>98</v>
      </c>
      <c r="BI213" t="s">
        <v>98</v>
      </c>
      <c r="BK213" t="s">
        <v>138</v>
      </c>
      <c r="CA213" t="s">
        <v>798</v>
      </c>
      <c r="CB213" t="s">
        <v>150</v>
      </c>
      <c r="CL213" t="s">
        <v>98</v>
      </c>
      <c r="CM213" t="s">
        <v>98</v>
      </c>
      <c r="CN213" t="s">
        <v>799</v>
      </c>
      <c r="CO213" s="1">
        <v>38457</v>
      </c>
      <c r="CP213" s="1">
        <v>43595</v>
      </c>
    </row>
    <row r="214" spans="1:94" x14ac:dyDescent="0.25">
      <c r="A214" s="4" t="s">
        <v>816</v>
      </c>
      <c r="B214" t="str">
        <f xml:space="preserve"> "" &amp; 706411056734</f>
        <v>706411056734</v>
      </c>
      <c r="C214" t="s">
        <v>795</v>
      </c>
      <c r="D214" t="s">
        <v>817</v>
      </c>
      <c r="F214" t="s">
        <v>135</v>
      </c>
      <c r="G214">
        <v>1</v>
      </c>
      <c r="H214">
        <v>1</v>
      </c>
      <c r="I214" t="s">
        <v>97</v>
      </c>
      <c r="J214" s="32">
        <v>7</v>
      </c>
      <c r="K214" s="32">
        <v>21</v>
      </c>
      <c r="L214">
        <v>0</v>
      </c>
      <c r="N214">
        <v>0</v>
      </c>
      <c r="S214">
        <v>1.88</v>
      </c>
      <c r="T214">
        <v>1.1299999999999999</v>
      </c>
      <c r="U214">
        <v>1.1299999999999999</v>
      </c>
      <c r="W214">
        <v>0.35</v>
      </c>
      <c r="X214">
        <v>1</v>
      </c>
      <c r="AB214">
        <v>1.0200000000000001E-2</v>
      </c>
      <c r="AC214">
        <v>0.37</v>
      </c>
      <c r="AK214" t="s">
        <v>98</v>
      </c>
      <c r="AM214" t="s">
        <v>98</v>
      </c>
      <c r="AN214" t="s">
        <v>98</v>
      </c>
      <c r="AO214" t="s">
        <v>98</v>
      </c>
      <c r="AP214" t="s">
        <v>99</v>
      </c>
      <c r="AQ214" t="s">
        <v>102</v>
      </c>
      <c r="AV214" t="s">
        <v>98</v>
      </c>
      <c r="AX214" t="s">
        <v>154</v>
      </c>
      <c r="BF214" t="s">
        <v>818</v>
      </c>
      <c r="BG214" t="s">
        <v>98</v>
      </c>
      <c r="BH214" t="s">
        <v>98</v>
      </c>
      <c r="BI214" t="s">
        <v>98</v>
      </c>
      <c r="BK214" t="s">
        <v>138</v>
      </c>
      <c r="CA214" t="s">
        <v>798</v>
      </c>
      <c r="CB214" t="s">
        <v>154</v>
      </c>
      <c r="CL214" t="s">
        <v>98</v>
      </c>
      <c r="CM214" t="s">
        <v>98</v>
      </c>
      <c r="CN214" t="s">
        <v>799</v>
      </c>
      <c r="CP214" s="1">
        <v>43595</v>
      </c>
    </row>
    <row r="215" spans="1:94" x14ac:dyDescent="0.25">
      <c r="A215" s="4" t="s">
        <v>819</v>
      </c>
      <c r="B215" t="str">
        <f xml:space="preserve"> "" &amp; 706411028175</f>
        <v>706411028175</v>
      </c>
      <c r="C215" t="s">
        <v>795</v>
      </c>
      <c r="D215" t="s">
        <v>820</v>
      </c>
      <c r="F215" t="s">
        <v>135</v>
      </c>
      <c r="G215">
        <v>1</v>
      </c>
      <c r="H215">
        <v>1</v>
      </c>
      <c r="I215" t="s">
        <v>97</v>
      </c>
      <c r="J215" s="32">
        <v>7</v>
      </c>
      <c r="K215" s="32">
        <v>21</v>
      </c>
      <c r="L215">
        <v>0</v>
      </c>
      <c r="N215">
        <v>0</v>
      </c>
      <c r="S215">
        <v>1.88</v>
      </c>
      <c r="T215">
        <v>1.1299999999999999</v>
      </c>
      <c r="U215">
        <v>1.1299999999999999</v>
      </c>
      <c r="W215">
        <v>0.35</v>
      </c>
      <c r="X215">
        <v>1</v>
      </c>
      <c r="Y215">
        <v>5.75</v>
      </c>
      <c r="Z215">
        <v>9.1300000000000008</v>
      </c>
      <c r="AA215">
        <v>9.1300000000000008</v>
      </c>
      <c r="AB215">
        <v>0.28000000000000003</v>
      </c>
      <c r="AC215">
        <v>0.37</v>
      </c>
      <c r="AK215" t="s">
        <v>98</v>
      </c>
      <c r="AM215" t="s">
        <v>98</v>
      </c>
      <c r="AN215" t="s">
        <v>98</v>
      </c>
      <c r="AO215" t="s">
        <v>98</v>
      </c>
      <c r="AP215" t="s">
        <v>99</v>
      </c>
      <c r="AQ215" t="s">
        <v>102</v>
      </c>
      <c r="AV215" t="s">
        <v>98</v>
      </c>
      <c r="AX215" t="s">
        <v>159</v>
      </c>
      <c r="BF215" t="s">
        <v>821</v>
      </c>
      <c r="BG215" t="s">
        <v>98</v>
      </c>
      <c r="BH215" t="s">
        <v>98</v>
      </c>
      <c r="BI215" t="s">
        <v>98</v>
      </c>
      <c r="BK215" t="s">
        <v>138</v>
      </c>
      <c r="CA215" t="s">
        <v>798</v>
      </c>
      <c r="CB215" t="s">
        <v>159</v>
      </c>
      <c r="CL215" t="s">
        <v>98</v>
      </c>
      <c r="CM215" t="s">
        <v>98</v>
      </c>
      <c r="CN215" t="s">
        <v>799</v>
      </c>
      <c r="CO215" s="1">
        <v>39728</v>
      </c>
      <c r="CP215" s="1">
        <v>43595</v>
      </c>
    </row>
    <row r="216" spans="1:94" x14ac:dyDescent="0.25">
      <c r="A216" s="4" t="s">
        <v>822</v>
      </c>
      <c r="B216" t="str">
        <f xml:space="preserve"> "" &amp; 706411028052</f>
        <v>706411028052</v>
      </c>
      <c r="C216" t="s">
        <v>795</v>
      </c>
      <c r="D216" t="s">
        <v>823</v>
      </c>
      <c r="F216" t="s">
        <v>135</v>
      </c>
      <c r="G216">
        <v>1</v>
      </c>
      <c r="H216">
        <v>1</v>
      </c>
      <c r="I216" t="s">
        <v>97</v>
      </c>
      <c r="J216" s="32">
        <v>7</v>
      </c>
      <c r="K216" s="32">
        <v>21</v>
      </c>
      <c r="L216">
        <v>0</v>
      </c>
      <c r="N216">
        <v>0</v>
      </c>
      <c r="S216">
        <v>1.88</v>
      </c>
      <c r="T216">
        <v>1.1299999999999999</v>
      </c>
      <c r="U216">
        <v>1.1299999999999999</v>
      </c>
      <c r="V216">
        <v>0.37</v>
      </c>
      <c r="W216">
        <v>0.35</v>
      </c>
      <c r="X216">
        <v>1</v>
      </c>
      <c r="Y216">
        <v>13</v>
      </c>
      <c r="Z216">
        <v>23</v>
      </c>
      <c r="AA216">
        <v>23</v>
      </c>
      <c r="AB216">
        <v>0.48</v>
      </c>
      <c r="AC216">
        <v>0.37</v>
      </c>
      <c r="AK216" t="s">
        <v>98</v>
      </c>
      <c r="AM216" t="s">
        <v>98</v>
      </c>
      <c r="AN216" t="s">
        <v>98</v>
      </c>
      <c r="AO216" t="s">
        <v>98</v>
      </c>
      <c r="AP216" t="s">
        <v>99</v>
      </c>
      <c r="AQ216" t="s">
        <v>102</v>
      </c>
      <c r="AV216" t="s">
        <v>98</v>
      </c>
      <c r="AX216" t="s">
        <v>163</v>
      </c>
      <c r="BF216" t="s">
        <v>824</v>
      </c>
      <c r="BG216" t="s">
        <v>98</v>
      </c>
      <c r="BH216" t="s">
        <v>98</v>
      </c>
      <c r="BI216" t="s">
        <v>98</v>
      </c>
      <c r="BK216" t="s">
        <v>138</v>
      </c>
      <c r="CA216" t="s">
        <v>798</v>
      </c>
      <c r="CB216" t="s">
        <v>163</v>
      </c>
      <c r="CL216" t="s">
        <v>98</v>
      </c>
      <c r="CM216" t="s">
        <v>98</v>
      </c>
      <c r="CN216" t="s">
        <v>799</v>
      </c>
      <c r="CO216" s="1">
        <v>38457</v>
      </c>
      <c r="CP216" s="1">
        <v>43595</v>
      </c>
    </row>
    <row r="217" spans="1:94" x14ac:dyDescent="0.25">
      <c r="A217" s="4" t="s">
        <v>825</v>
      </c>
      <c r="B217" t="str">
        <f xml:space="preserve"> "" &amp; 706411044533</f>
        <v>706411044533</v>
      </c>
      <c r="C217" t="s">
        <v>795</v>
      </c>
      <c r="D217" t="s">
        <v>826</v>
      </c>
      <c r="F217" t="s">
        <v>135</v>
      </c>
      <c r="G217">
        <v>1</v>
      </c>
      <c r="H217">
        <v>1</v>
      </c>
      <c r="I217" t="s">
        <v>97</v>
      </c>
      <c r="J217" s="32">
        <v>7</v>
      </c>
      <c r="K217" s="32">
        <v>21</v>
      </c>
      <c r="L217">
        <v>0</v>
      </c>
      <c r="N217">
        <v>0</v>
      </c>
      <c r="S217">
        <v>1.88</v>
      </c>
      <c r="T217">
        <v>1.1299999999999999</v>
      </c>
      <c r="U217">
        <v>1.1299999999999999</v>
      </c>
      <c r="W217">
        <v>0.35</v>
      </c>
      <c r="X217">
        <v>1</v>
      </c>
      <c r="AB217">
        <v>1.0200000000000001E-2</v>
      </c>
      <c r="AC217">
        <v>0.37</v>
      </c>
      <c r="AK217" t="s">
        <v>98</v>
      </c>
      <c r="AM217" t="s">
        <v>98</v>
      </c>
      <c r="AN217" t="s">
        <v>98</v>
      </c>
      <c r="AO217" t="s">
        <v>98</v>
      </c>
      <c r="AP217" t="s">
        <v>99</v>
      </c>
      <c r="AQ217" t="s">
        <v>102</v>
      </c>
      <c r="AV217" t="s">
        <v>98</v>
      </c>
      <c r="AX217" t="s">
        <v>167</v>
      </c>
      <c r="BF217" t="s">
        <v>827</v>
      </c>
      <c r="BG217" t="s">
        <v>98</v>
      </c>
      <c r="BH217" t="s">
        <v>98</v>
      </c>
      <c r="BI217" t="s">
        <v>98</v>
      </c>
      <c r="BK217" t="s">
        <v>138</v>
      </c>
      <c r="CA217" t="s">
        <v>798</v>
      </c>
      <c r="CB217" t="s">
        <v>167</v>
      </c>
      <c r="CL217" t="s">
        <v>98</v>
      </c>
      <c r="CM217" t="s">
        <v>98</v>
      </c>
      <c r="CN217" t="s">
        <v>799</v>
      </c>
      <c r="CP217" s="1">
        <v>43595</v>
      </c>
    </row>
    <row r="218" spans="1:94" x14ac:dyDescent="0.25">
      <c r="A218" s="4" t="s">
        <v>828</v>
      </c>
      <c r="B218" t="str">
        <f xml:space="preserve"> "" &amp; 706411043581</f>
        <v>706411043581</v>
      </c>
      <c r="C218" t="s">
        <v>795</v>
      </c>
      <c r="D218" t="s">
        <v>829</v>
      </c>
      <c r="F218" t="s">
        <v>135</v>
      </c>
      <c r="G218">
        <v>1</v>
      </c>
      <c r="H218">
        <v>1</v>
      </c>
      <c r="I218" t="s">
        <v>97</v>
      </c>
      <c r="J218" s="32">
        <v>7</v>
      </c>
      <c r="K218" s="32">
        <v>21</v>
      </c>
      <c r="L218">
        <v>0</v>
      </c>
      <c r="N218">
        <v>0</v>
      </c>
      <c r="S218">
        <v>1.88</v>
      </c>
      <c r="T218">
        <v>1.1299999999999999</v>
      </c>
      <c r="U218">
        <v>1.1299999999999999</v>
      </c>
      <c r="W218">
        <v>0.35199999999999998</v>
      </c>
      <c r="X218">
        <v>1</v>
      </c>
      <c r="AB218">
        <v>1.0200000000000001E-2</v>
      </c>
      <c r="AC218">
        <v>0.38700000000000001</v>
      </c>
      <c r="AK218" t="s">
        <v>98</v>
      </c>
      <c r="AM218" t="s">
        <v>98</v>
      </c>
      <c r="AN218" t="s">
        <v>98</v>
      </c>
      <c r="AO218" t="s">
        <v>98</v>
      </c>
      <c r="AP218" t="s">
        <v>99</v>
      </c>
      <c r="AQ218" t="s">
        <v>102</v>
      </c>
      <c r="AV218" t="s">
        <v>98</v>
      </c>
      <c r="AX218" t="s">
        <v>171</v>
      </c>
      <c r="BF218" t="s">
        <v>830</v>
      </c>
      <c r="BG218" t="s">
        <v>98</v>
      </c>
      <c r="BH218" t="s">
        <v>98</v>
      </c>
      <c r="BI218" t="s">
        <v>98</v>
      </c>
      <c r="CB218" t="s">
        <v>171</v>
      </c>
      <c r="CL218" t="s">
        <v>98</v>
      </c>
      <c r="CM218" t="s">
        <v>98</v>
      </c>
      <c r="CP218" s="1">
        <v>43595</v>
      </c>
    </row>
    <row r="219" spans="1:94" x14ac:dyDescent="0.25">
      <c r="A219" s="4" t="s">
        <v>831</v>
      </c>
      <c r="B219" t="str">
        <f xml:space="preserve"> "" &amp; 706411035098</f>
        <v>706411035098</v>
      </c>
      <c r="C219" t="s">
        <v>795</v>
      </c>
      <c r="D219" t="s">
        <v>832</v>
      </c>
      <c r="F219" t="s">
        <v>135</v>
      </c>
      <c r="G219">
        <v>1</v>
      </c>
      <c r="H219">
        <v>1</v>
      </c>
      <c r="I219" t="s">
        <v>97</v>
      </c>
      <c r="J219" s="32">
        <v>7</v>
      </c>
      <c r="K219" s="32">
        <v>21</v>
      </c>
      <c r="L219">
        <v>0</v>
      </c>
      <c r="N219">
        <v>0</v>
      </c>
      <c r="S219">
        <v>1.88</v>
      </c>
      <c r="T219">
        <v>1.1299999999999999</v>
      </c>
      <c r="U219">
        <v>1.1299999999999999</v>
      </c>
      <c r="W219">
        <v>0.35</v>
      </c>
      <c r="X219">
        <v>1</v>
      </c>
      <c r="Y219">
        <v>5.75</v>
      </c>
      <c r="Z219">
        <v>9.1300000000000008</v>
      </c>
      <c r="AA219">
        <v>9.1300000000000008</v>
      </c>
      <c r="AB219">
        <v>0.28000000000000003</v>
      </c>
      <c r="AC219">
        <v>0.37</v>
      </c>
      <c r="AK219" t="s">
        <v>98</v>
      </c>
      <c r="AM219" t="s">
        <v>98</v>
      </c>
      <c r="AN219" t="s">
        <v>98</v>
      </c>
      <c r="AO219" t="s">
        <v>98</v>
      </c>
      <c r="AP219" t="s">
        <v>99</v>
      </c>
      <c r="AQ219" t="s">
        <v>102</v>
      </c>
      <c r="AV219" t="s">
        <v>98</v>
      </c>
      <c r="AX219" t="s">
        <v>175</v>
      </c>
      <c r="BF219" t="s">
        <v>833</v>
      </c>
      <c r="BG219" t="s">
        <v>98</v>
      </c>
      <c r="BH219" t="s">
        <v>98</v>
      </c>
      <c r="BI219" t="s">
        <v>98</v>
      </c>
      <c r="BK219" t="s">
        <v>138</v>
      </c>
      <c r="CA219" t="s">
        <v>798</v>
      </c>
      <c r="CB219" t="s">
        <v>175</v>
      </c>
      <c r="CL219" t="s">
        <v>98</v>
      </c>
      <c r="CM219" t="s">
        <v>98</v>
      </c>
      <c r="CN219" t="s">
        <v>799</v>
      </c>
      <c r="CO219" s="1">
        <v>39728</v>
      </c>
      <c r="CP219" s="1">
        <v>43595</v>
      </c>
    </row>
    <row r="220" spans="1:94" x14ac:dyDescent="0.25">
      <c r="A220" s="4" t="s">
        <v>834</v>
      </c>
      <c r="B220" t="str">
        <f xml:space="preserve"> "" &amp; 706411061073</f>
        <v>706411061073</v>
      </c>
      <c r="C220" t="s">
        <v>795</v>
      </c>
      <c r="D220" t="s">
        <v>835</v>
      </c>
      <c r="F220" t="s">
        <v>135</v>
      </c>
      <c r="G220">
        <v>1</v>
      </c>
      <c r="H220">
        <v>1</v>
      </c>
      <c r="I220" t="s">
        <v>97</v>
      </c>
      <c r="J220" s="32">
        <v>7</v>
      </c>
      <c r="K220" s="32">
        <v>21</v>
      </c>
      <c r="L220">
        <v>0</v>
      </c>
      <c r="N220">
        <v>0</v>
      </c>
      <c r="S220">
        <v>1.88</v>
      </c>
      <c r="T220">
        <v>1.1299999999999999</v>
      </c>
      <c r="U220">
        <v>1.1299999999999999</v>
      </c>
      <c r="W220">
        <v>0.35</v>
      </c>
      <c r="X220">
        <v>1</v>
      </c>
      <c r="AB220">
        <v>1.0200000000000001E-2</v>
      </c>
      <c r="AC220">
        <v>0.37</v>
      </c>
      <c r="AK220" t="s">
        <v>98</v>
      </c>
      <c r="AM220" t="s">
        <v>98</v>
      </c>
      <c r="AN220" t="s">
        <v>98</v>
      </c>
      <c r="AO220" t="s">
        <v>98</v>
      </c>
      <c r="AP220" t="s">
        <v>99</v>
      </c>
      <c r="AQ220" t="s">
        <v>102</v>
      </c>
      <c r="AV220" t="s">
        <v>98</v>
      </c>
      <c r="AX220" t="s">
        <v>179</v>
      </c>
      <c r="BF220" t="s">
        <v>836</v>
      </c>
      <c r="BG220" t="s">
        <v>98</v>
      </c>
      <c r="BH220" t="s">
        <v>98</v>
      </c>
      <c r="BI220" t="s">
        <v>98</v>
      </c>
      <c r="BK220" t="s">
        <v>138</v>
      </c>
      <c r="CA220" t="s">
        <v>798</v>
      </c>
      <c r="CB220" t="s">
        <v>179</v>
      </c>
      <c r="CL220" t="s">
        <v>98</v>
      </c>
      <c r="CM220" t="s">
        <v>98</v>
      </c>
      <c r="CN220" t="s">
        <v>799</v>
      </c>
      <c r="CO220" s="1">
        <v>43396</v>
      </c>
      <c r="CP220" s="1">
        <v>43595</v>
      </c>
    </row>
    <row r="221" spans="1:94" x14ac:dyDescent="0.25">
      <c r="A221" s="4" t="s">
        <v>837</v>
      </c>
      <c r="B221" t="str">
        <f xml:space="preserve"> "" &amp; 706411035005</f>
        <v>706411035005</v>
      </c>
      <c r="C221" t="s">
        <v>795</v>
      </c>
      <c r="D221" t="s">
        <v>838</v>
      </c>
      <c r="F221" t="s">
        <v>135</v>
      </c>
      <c r="G221">
        <v>1</v>
      </c>
      <c r="H221">
        <v>1</v>
      </c>
      <c r="I221" t="s">
        <v>97</v>
      </c>
      <c r="J221" s="32">
        <v>7</v>
      </c>
      <c r="K221" s="32">
        <v>21</v>
      </c>
      <c r="L221">
        <v>0</v>
      </c>
      <c r="N221">
        <v>0</v>
      </c>
      <c r="S221">
        <v>1.88</v>
      </c>
      <c r="T221">
        <v>1.1299999999999999</v>
      </c>
      <c r="U221">
        <v>1.1299999999999999</v>
      </c>
      <c r="W221">
        <v>0.35</v>
      </c>
      <c r="X221">
        <v>1</v>
      </c>
      <c r="Y221">
        <v>5.75</v>
      </c>
      <c r="Z221">
        <v>9.1300000000000008</v>
      </c>
      <c r="AA221">
        <v>9.1300000000000008</v>
      </c>
      <c r="AB221">
        <v>0.28000000000000003</v>
      </c>
      <c r="AC221">
        <v>0.37</v>
      </c>
      <c r="AK221" t="s">
        <v>98</v>
      </c>
      <c r="AM221" t="s">
        <v>98</v>
      </c>
      <c r="AN221" t="s">
        <v>98</v>
      </c>
      <c r="AO221" t="s">
        <v>98</v>
      </c>
      <c r="AP221" t="s">
        <v>99</v>
      </c>
      <c r="AQ221" t="s">
        <v>102</v>
      </c>
      <c r="AV221" t="s">
        <v>98</v>
      </c>
      <c r="AX221" t="s">
        <v>183</v>
      </c>
      <c r="BF221" t="s">
        <v>839</v>
      </c>
      <c r="BG221" t="s">
        <v>98</v>
      </c>
      <c r="BH221" t="s">
        <v>98</v>
      </c>
      <c r="BI221" t="s">
        <v>98</v>
      </c>
      <c r="BK221" t="s">
        <v>138</v>
      </c>
      <c r="CA221" t="s">
        <v>798</v>
      </c>
      <c r="CB221" t="s">
        <v>183</v>
      </c>
      <c r="CL221" t="s">
        <v>98</v>
      </c>
      <c r="CM221" t="s">
        <v>98</v>
      </c>
      <c r="CN221" t="s">
        <v>799</v>
      </c>
      <c r="CO221" s="1">
        <v>39728</v>
      </c>
      <c r="CP221" s="1">
        <v>43595</v>
      </c>
    </row>
    <row r="222" spans="1:94" x14ac:dyDescent="0.25">
      <c r="A222" s="4" t="s">
        <v>840</v>
      </c>
      <c r="B222" t="str">
        <f xml:space="preserve"> "" &amp; 706411031236</f>
        <v>706411031236</v>
      </c>
      <c r="C222" t="s">
        <v>795</v>
      </c>
      <c r="D222" t="s">
        <v>4468</v>
      </c>
      <c r="F222" t="s">
        <v>135</v>
      </c>
      <c r="G222">
        <v>1</v>
      </c>
      <c r="H222">
        <v>1</v>
      </c>
      <c r="I222" t="s">
        <v>97</v>
      </c>
      <c r="J222" s="32">
        <v>7</v>
      </c>
      <c r="K222" s="32">
        <v>21</v>
      </c>
      <c r="L222">
        <v>0</v>
      </c>
      <c r="N222">
        <v>0</v>
      </c>
      <c r="S222">
        <v>1.88</v>
      </c>
      <c r="T222">
        <v>1.1299999999999999</v>
      </c>
      <c r="U222">
        <v>1.1299999999999999</v>
      </c>
      <c r="V222">
        <v>0.37</v>
      </c>
      <c r="W222">
        <v>0.35</v>
      </c>
      <c r="X222">
        <v>1</v>
      </c>
      <c r="Y222">
        <v>13</v>
      </c>
      <c r="Z222">
        <v>23</v>
      </c>
      <c r="AA222">
        <v>23</v>
      </c>
      <c r="AB222">
        <v>0.48</v>
      </c>
      <c r="AC222">
        <v>0.37</v>
      </c>
      <c r="AK222" t="s">
        <v>98</v>
      </c>
      <c r="AM222" t="s">
        <v>98</v>
      </c>
      <c r="AN222" t="s">
        <v>98</v>
      </c>
      <c r="AO222" t="s">
        <v>98</v>
      </c>
      <c r="AP222" t="s">
        <v>99</v>
      </c>
      <c r="AQ222" t="s">
        <v>102</v>
      </c>
      <c r="AV222" t="s">
        <v>98</v>
      </c>
      <c r="AX222" t="s">
        <v>186</v>
      </c>
      <c r="BF222" t="s">
        <v>841</v>
      </c>
      <c r="BG222" t="s">
        <v>98</v>
      </c>
      <c r="BH222" t="s">
        <v>98</v>
      </c>
      <c r="BI222" t="s">
        <v>98</v>
      </c>
      <c r="BK222" t="s">
        <v>138</v>
      </c>
      <c r="CA222" t="s">
        <v>798</v>
      </c>
      <c r="CB222" t="s">
        <v>186</v>
      </c>
      <c r="CL222" t="s">
        <v>98</v>
      </c>
      <c r="CM222" t="s">
        <v>98</v>
      </c>
      <c r="CN222" t="s">
        <v>799</v>
      </c>
      <c r="CO222" s="1">
        <v>38457</v>
      </c>
      <c r="CP222" s="1">
        <v>43595</v>
      </c>
    </row>
    <row r="223" spans="1:94" x14ac:dyDescent="0.25">
      <c r="A223" s="4" t="s">
        <v>842</v>
      </c>
      <c r="B223" t="str">
        <f xml:space="preserve"> "" &amp; 706411038839</f>
        <v>706411038839</v>
      </c>
      <c r="C223" t="s">
        <v>795</v>
      </c>
      <c r="D223" t="s">
        <v>843</v>
      </c>
      <c r="F223" t="s">
        <v>135</v>
      </c>
      <c r="G223">
        <v>1</v>
      </c>
      <c r="H223">
        <v>1</v>
      </c>
      <c r="I223" t="s">
        <v>97</v>
      </c>
      <c r="J223" s="32">
        <v>7</v>
      </c>
      <c r="K223" s="32">
        <v>21</v>
      </c>
      <c r="L223">
        <v>0</v>
      </c>
      <c r="N223">
        <v>0</v>
      </c>
      <c r="S223">
        <v>1.88</v>
      </c>
      <c r="T223">
        <v>1.1299999999999999</v>
      </c>
      <c r="U223">
        <v>1.1299999999999999</v>
      </c>
      <c r="V223">
        <v>0.37</v>
      </c>
      <c r="W223">
        <v>0.35</v>
      </c>
      <c r="X223">
        <v>1</v>
      </c>
      <c r="Y223">
        <v>5.75</v>
      </c>
      <c r="Z223">
        <v>9.1300000000000008</v>
      </c>
      <c r="AA223">
        <v>9.1300000000000008</v>
      </c>
      <c r="AB223">
        <v>0.28000000000000003</v>
      </c>
      <c r="AC223">
        <v>0.37</v>
      </c>
      <c r="AK223" t="s">
        <v>98</v>
      </c>
      <c r="AM223" t="s">
        <v>98</v>
      </c>
      <c r="AN223" t="s">
        <v>98</v>
      </c>
      <c r="AO223" t="s">
        <v>98</v>
      </c>
      <c r="AP223" t="s">
        <v>99</v>
      </c>
      <c r="AQ223" t="s">
        <v>102</v>
      </c>
      <c r="AV223" t="s">
        <v>98</v>
      </c>
      <c r="AX223" t="s">
        <v>190</v>
      </c>
      <c r="BF223" t="s">
        <v>844</v>
      </c>
      <c r="BG223" t="s">
        <v>98</v>
      </c>
      <c r="BH223" t="s">
        <v>98</v>
      </c>
      <c r="BI223" t="s">
        <v>98</v>
      </c>
      <c r="BK223" t="s">
        <v>138</v>
      </c>
      <c r="CA223" t="s">
        <v>798</v>
      </c>
      <c r="CB223" t="s">
        <v>190</v>
      </c>
      <c r="CL223" t="s">
        <v>98</v>
      </c>
      <c r="CM223" t="s">
        <v>98</v>
      </c>
      <c r="CN223" t="s">
        <v>799</v>
      </c>
      <c r="CO223" s="1">
        <v>40240</v>
      </c>
      <c r="CP223" s="1">
        <v>43595</v>
      </c>
    </row>
    <row r="224" spans="1:94" x14ac:dyDescent="0.25">
      <c r="A224" s="4" t="s">
        <v>845</v>
      </c>
      <c r="B224" t="str">
        <f xml:space="preserve"> "" &amp; 706411027901</f>
        <v>706411027901</v>
      </c>
      <c r="C224" t="s">
        <v>795</v>
      </c>
      <c r="D224" t="s">
        <v>4469</v>
      </c>
      <c r="F224" t="s">
        <v>135</v>
      </c>
      <c r="G224">
        <v>1</v>
      </c>
      <c r="H224">
        <v>1</v>
      </c>
      <c r="I224" t="s">
        <v>97</v>
      </c>
      <c r="J224" s="32">
        <v>7</v>
      </c>
      <c r="K224" s="32">
        <v>21</v>
      </c>
      <c r="L224">
        <v>0</v>
      </c>
      <c r="N224">
        <v>0</v>
      </c>
      <c r="S224">
        <v>1.88</v>
      </c>
      <c r="T224">
        <v>1.1299999999999999</v>
      </c>
      <c r="U224">
        <v>1.1299999999999999</v>
      </c>
      <c r="V224">
        <v>0.37</v>
      </c>
      <c r="W224">
        <v>0.35</v>
      </c>
      <c r="X224">
        <v>1</v>
      </c>
      <c r="Y224">
        <v>13</v>
      </c>
      <c r="Z224">
        <v>23</v>
      </c>
      <c r="AA224">
        <v>23</v>
      </c>
      <c r="AB224">
        <v>0.48</v>
      </c>
      <c r="AC224">
        <v>0.37</v>
      </c>
      <c r="AK224" t="s">
        <v>98</v>
      </c>
      <c r="AM224" t="s">
        <v>98</v>
      </c>
      <c r="AN224" t="s">
        <v>98</v>
      </c>
      <c r="AO224" t="s">
        <v>98</v>
      </c>
      <c r="AP224" t="s">
        <v>99</v>
      </c>
      <c r="AQ224" t="s">
        <v>102</v>
      </c>
      <c r="AV224" t="s">
        <v>98</v>
      </c>
      <c r="AX224" t="s">
        <v>193</v>
      </c>
      <c r="BF224" t="s">
        <v>846</v>
      </c>
      <c r="BG224" t="s">
        <v>98</v>
      </c>
      <c r="BH224" t="s">
        <v>98</v>
      </c>
      <c r="BI224" t="s">
        <v>98</v>
      </c>
      <c r="BK224" t="s">
        <v>138</v>
      </c>
      <c r="CA224" t="s">
        <v>798</v>
      </c>
      <c r="CB224" t="s">
        <v>193</v>
      </c>
      <c r="CL224" t="s">
        <v>98</v>
      </c>
      <c r="CM224" t="s">
        <v>98</v>
      </c>
      <c r="CN224" t="s">
        <v>799</v>
      </c>
      <c r="CO224" s="1">
        <v>38457</v>
      </c>
      <c r="CP224" s="1">
        <v>43595</v>
      </c>
    </row>
    <row r="225" spans="1:94" x14ac:dyDescent="0.25">
      <c r="A225" s="4" t="s">
        <v>847</v>
      </c>
      <c r="B225" t="str">
        <f xml:space="preserve"> "" &amp; 706411050343</f>
        <v>706411050343</v>
      </c>
      <c r="C225" t="s">
        <v>795</v>
      </c>
      <c r="D225" t="s">
        <v>848</v>
      </c>
      <c r="F225" t="s">
        <v>135</v>
      </c>
      <c r="G225">
        <v>1</v>
      </c>
      <c r="H225">
        <v>1</v>
      </c>
      <c r="I225" t="s">
        <v>97</v>
      </c>
      <c r="J225" s="32">
        <v>7</v>
      </c>
      <c r="K225" s="32">
        <v>21</v>
      </c>
      <c r="L225">
        <v>0</v>
      </c>
      <c r="N225">
        <v>0</v>
      </c>
      <c r="S225">
        <v>1.88</v>
      </c>
      <c r="T225">
        <v>1.1299999999999999</v>
      </c>
      <c r="U225">
        <v>1.1299999999999999</v>
      </c>
      <c r="W225">
        <v>0.35199999999999998</v>
      </c>
      <c r="X225">
        <v>1</v>
      </c>
      <c r="AB225">
        <v>1.0200000000000001E-2</v>
      </c>
      <c r="AC225">
        <v>0.38700000000000001</v>
      </c>
      <c r="AK225" t="s">
        <v>98</v>
      </c>
      <c r="AM225" t="s">
        <v>98</v>
      </c>
      <c r="AN225" t="s">
        <v>98</v>
      </c>
      <c r="AO225" t="s">
        <v>98</v>
      </c>
      <c r="AP225" t="s">
        <v>99</v>
      </c>
      <c r="AQ225" t="s">
        <v>102</v>
      </c>
      <c r="AV225" t="s">
        <v>98</v>
      </c>
      <c r="AX225" t="s">
        <v>197</v>
      </c>
      <c r="BF225" t="s">
        <v>849</v>
      </c>
      <c r="BG225" t="s">
        <v>98</v>
      </c>
      <c r="BH225" t="s">
        <v>98</v>
      </c>
      <c r="BI225" t="s">
        <v>98</v>
      </c>
      <c r="CB225" t="s">
        <v>197</v>
      </c>
      <c r="CL225" t="s">
        <v>98</v>
      </c>
      <c r="CM225" t="s">
        <v>98</v>
      </c>
      <c r="CP225" s="1">
        <v>43595</v>
      </c>
    </row>
    <row r="226" spans="1:94" x14ac:dyDescent="0.25">
      <c r="A226" s="4" t="s">
        <v>850</v>
      </c>
      <c r="B226" t="str">
        <f xml:space="preserve"> "" &amp; 706411052286</f>
        <v>706411052286</v>
      </c>
      <c r="C226" t="s">
        <v>795</v>
      </c>
      <c r="D226" t="s">
        <v>851</v>
      </c>
      <c r="F226" t="s">
        <v>135</v>
      </c>
      <c r="G226">
        <v>1</v>
      </c>
      <c r="H226">
        <v>1</v>
      </c>
      <c r="I226" t="s">
        <v>97</v>
      </c>
      <c r="J226" s="32">
        <v>7</v>
      </c>
      <c r="K226" s="32">
        <v>21</v>
      </c>
      <c r="L226">
        <v>0</v>
      </c>
      <c r="N226">
        <v>0</v>
      </c>
      <c r="S226">
        <v>1.88</v>
      </c>
      <c r="T226">
        <v>1.1299999999999999</v>
      </c>
      <c r="U226">
        <v>1.1299999999999999</v>
      </c>
      <c r="W226">
        <v>0.35199999999999998</v>
      </c>
      <c r="X226">
        <v>1</v>
      </c>
      <c r="AB226">
        <v>1.0200000000000001E-2</v>
      </c>
      <c r="AC226">
        <v>0.38700000000000001</v>
      </c>
      <c r="AK226" t="s">
        <v>98</v>
      </c>
      <c r="AM226" t="s">
        <v>98</v>
      </c>
      <c r="AN226" t="s">
        <v>98</v>
      </c>
      <c r="AO226" t="s">
        <v>98</v>
      </c>
      <c r="AP226" t="s">
        <v>99</v>
      </c>
      <c r="AQ226" t="s">
        <v>102</v>
      </c>
      <c r="AV226" t="s">
        <v>98</v>
      </c>
      <c r="AX226" t="s">
        <v>197</v>
      </c>
      <c r="BF226" t="s">
        <v>852</v>
      </c>
      <c r="BG226" t="s">
        <v>98</v>
      </c>
      <c r="BH226" t="s">
        <v>98</v>
      </c>
      <c r="BI226" t="s">
        <v>98</v>
      </c>
      <c r="CB226" t="s">
        <v>197</v>
      </c>
      <c r="CL226" t="s">
        <v>98</v>
      </c>
      <c r="CM226" t="s">
        <v>98</v>
      </c>
      <c r="CP226" s="1">
        <v>43595</v>
      </c>
    </row>
    <row r="227" spans="1:94" x14ac:dyDescent="0.25">
      <c r="A227" s="4" t="s">
        <v>853</v>
      </c>
      <c r="B227" t="str">
        <f xml:space="preserve"> "" &amp; 706411038846</f>
        <v>706411038846</v>
      </c>
      <c r="C227" t="s">
        <v>795</v>
      </c>
      <c r="D227" t="s">
        <v>854</v>
      </c>
      <c r="F227" t="s">
        <v>135</v>
      </c>
      <c r="G227">
        <v>1</v>
      </c>
      <c r="H227">
        <v>1</v>
      </c>
      <c r="I227" t="s">
        <v>97</v>
      </c>
      <c r="J227" s="32">
        <v>7</v>
      </c>
      <c r="K227" s="32">
        <v>21</v>
      </c>
      <c r="L227">
        <v>0</v>
      </c>
      <c r="N227">
        <v>0</v>
      </c>
      <c r="S227">
        <v>1.88</v>
      </c>
      <c r="T227">
        <v>1.1299999999999999</v>
      </c>
      <c r="U227">
        <v>1.1299999999999999</v>
      </c>
      <c r="V227">
        <v>0.37</v>
      </c>
      <c r="W227">
        <v>0.35</v>
      </c>
      <c r="X227">
        <v>1</v>
      </c>
      <c r="Y227">
        <v>5.75</v>
      </c>
      <c r="Z227">
        <v>9.1300000000000008</v>
      </c>
      <c r="AA227">
        <v>9.1300000000000008</v>
      </c>
      <c r="AB227">
        <v>0.28000000000000003</v>
      </c>
      <c r="AC227">
        <v>0.37</v>
      </c>
      <c r="AK227" t="s">
        <v>98</v>
      </c>
      <c r="AM227" t="s">
        <v>98</v>
      </c>
      <c r="AN227" t="s">
        <v>98</v>
      </c>
      <c r="AO227" t="s">
        <v>98</v>
      </c>
      <c r="AP227" t="s">
        <v>99</v>
      </c>
      <c r="AQ227" t="s">
        <v>102</v>
      </c>
      <c r="AV227" t="s">
        <v>98</v>
      </c>
      <c r="AX227" t="s">
        <v>201</v>
      </c>
      <c r="BF227" t="s">
        <v>855</v>
      </c>
      <c r="BG227" t="s">
        <v>98</v>
      </c>
      <c r="BH227" t="s">
        <v>98</v>
      </c>
      <c r="BI227" t="s">
        <v>98</v>
      </c>
      <c r="BK227" t="s">
        <v>138</v>
      </c>
      <c r="CA227" t="s">
        <v>798</v>
      </c>
      <c r="CB227" t="s">
        <v>201</v>
      </c>
      <c r="CL227" t="s">
        <v>98</v>
      </c>
      <c r="CM227" t="s">
        <v>98</v>
      </c>
      <c r="CN227" t="s">
        <v>856</v>
      </c>
      <c r="CO227" s="1">
        <v>40240</v>
      </c>
      <c r="CP227" s="1">
        <v>43595</v>
      </c>
    </row>
    <row r="228" spans="1:94" x14ac:dyDescent="0.25">
      <c r="A228" s="4" t="s">
        <v>857</v>
      </c>
      <c r="B228" t="str">
        <f xml:space="preserve"> "" &amp; 706411057168</f>
        <v>706411057168</v>
      </c>
      <c r="C228" t="s">
        <v>795</v>
      </c>
      <c r="D228" t="s">
        <v>858</v>
      </c>
      <c r="F228" t="s">
        <v>135</v>
      </c>
      <c r="G228">
        <v>1</v>
      </c>
      <c r="H228">
        <v>1</v>
      </c>
      <c r="I228" t="s">
        <v>97</v>
      </c>
      <c r="J228" s="32">
        <v>7</v>
      </c>
      <c r="K228" s="32">
        <v>21</v>
      </c>
      <c r="L228">
        <v>0</v>
      </c>
      <c r="N228">
        <v>0</v>
      </c>
      <c r="S228">
        <v>1.88</v>
      </c>
      <c r="T228">
        <v>1.1299999999999999</v>
      </c>
      <c r="U228">
        <v>1.1299999999999999</v>
      </c>
      <c r="W228">
        <v>0.35</v>
      </c>
      <c r="X228">
        <v>1</v>
      </c>
      <c r="AB228">
        <v>1.0200000000000001E-2</v>
      </c>
      <c r="AC228">
        <v>0.37</v>
      </c>
      <c r="AK228" t="s">
        <v>98</v>
      </c>
      <c r="AM228" t="s">
        <v>98</v>
      </c>
      <c r="AN228" t="s">
        <v>98</v>
      </c>
      <c r="AO228" t="s">
        <v>98</v>
      </c>
      <c r="AP228" t="s">
        <v>99</v>
      </c>
      <c r="AQ228" t="s">
        <v>102</v>
      </c>
      <c r="AV228" t="s">
        <v>98</v>
      </c>
      <c r="AX228" t="s">
        <v>859</v>
      </c>
      <c r="BF228" t="s">
        <v>860</v>
      </c>
      <c r="BG228" t="s">
        <v>98</v>
      </c>
      <c r="BH228" t="s">
        <v>98</v>
      </c>
      <c r="BI228" t="s">
        <v>98</v>
      </c>
      <c r="BK228" t="s">
        <v>138</v>
      </c>
      <c r="CA228" t="s">
        <v>798</v>
      </c>
      <c r="CB228" t="s">
        <v>859</v>
      </c>
      <c r="CL228" t="s">
        <v>98</v>
      </c>
      <c r="CM228" t="s">
        <v>98</v>
      </c>
      <c r="CN228" t="s">
        <v>799</v>
      </c>
      <c r="CO228" s="1">
        <v>43586</v>
      </c>
      <c r="CP228" s="1">
        <v>43586</v>
      </c>
    </row>
    <row r="229" spans="1:94" x14ac:dyDescent="0.25">
      <c r="A229" s="4" t="s">
        <v>861</v>
      </c>
      <c r="B229" t="str">
        <f xml:space="preserve"> "" &amp; 706411043031</f>
        <v>706411043031</v>
      </c>
      <c r="C229" t="s">
        <v>795</v>
      </c>
      <c r="D229" t="s">
        <v>862</v>
      </c>
      <c r="F229" t="s">
        <v>135</v>
      </c>
      <c r="G229">
        <v>1</v>
      </c>
      <c r="H229">
        <v>1</v>
      </c>
      <c r="I229" t="s">
        <v>97</v>
      </c>
      <c r="J229" s="32">
        <v>7</v>
      </c>
      <c r="K229" s="32">
        <v>21</v>
      </c>
      <c r="L229">
        <v>0</v>
      </c>
      <c r="N229">
        <v>0</v>
      </c>
      <c r="S229">
        <v>1.88</v>
      </c>
      <c r="T229">
        <v>1.1299999999999999</v>
      </c>
      <c r="U229">
        <v>1.1299999999999999</v>
      </c>
      <c r="W229">
        <v>0.35199999999999998</v>
      </c>
      <c r="X229">
        <v>1</v>
      </c>
      <c r="AB229">
        <v>1.0200000000000001E-2</v>
      </c>
      <c r="AC229">
        <v>0.37</v>
      </c>
      <c r="AK229" t="s">
        <v>98</v>
      </c>
      <c r="AM229" t="s">
        <v>98</v>
      </c>
      <c r="AN229" t="s">
        <v>98</v>
      </c>
      <c r="AO229" t="s">
        <v>98</v>
      </c>
      <c r="AP229" t="s">
        <v>99</v>
      </c>
      <c r="AQ229" t="s">
        <v>102</v>
      </c>
      <c r="AV229" t="s">
        <v>98</v>
      </c>
      <c r="AX229" t="s">
        <v>205</v>
      </c>
      <c r="BF229" t="s">
        <v>863</v>
      </c>
      <c r="BG229" t="s">
        <v>98</v>
      </c>
      <c r="BH229" t="s">
        <v>98</v>
      </c>
      <c r="BI229" t="s">
        <v>98</v>
      </c>
      <c r="CB229" t="s">
        <v>205</v>
      </c>
      <c r="CL229" t="s">
        <v>98</v>
      </c>
      <c r="CM229" t="s">
        <v>98</v>
      </c>
      <c r="CP229" s="1">
        <v>43595</v>
      </c>
    </row>
    <row r="230" spans="1:94" x14ac:dyDescent="0.25">
      <c r="A230" s="4" t="s">
        <v>864</v>
      </c>
      <c r="B230" t="str">
        <f xml:space="preserve"> "" &amp; 706411053221</f>
        <v>706411053221</v>
      </c>
      <c r="C230" t="s">
        <v>795</v>
      </c>
      <c r="D230" t="s">
        <v>865</v>
      </c>
      <c r="F230" t="s">
        <v>135</v>
      </c>
      <c r="G230">
        <v>1</v>
      </c>
      <c r="H230">
        <v>1</v>
      </c>
      <c r="I230" t="s">
        <v>97</v>
      </c>
      <c r="J230" s="32">
        <v>7</v>
      </c>
      <c r="K230" s="32">
        <v>21</v>
      </c>
      <c r="L230">
        <v>0</v>
      </c>
      <c r="N230">
        <v>0</v>
      </c>
      <c r="S230">
        <v>1.88</v>
      </c>
      <c r="T230">
        <v>1.1299999999999999</v>
      </c>
      <c r="U230">
        <v>1.1299999999999999</v>
      </c>
      <c r="W230">
        <v>0.35199999999999998</v>
      </c>
      <c r="X230">
        <v>1</v>
      </c>
      <c r="AB230">
        <v>1.0200000000000001E-2</v>
      </c>
      <c r="AC230">
        <v>0.38700000000000001</v>
      </c>
      <c r="AK230" t="s">
        <v>98</v>
      </c>
      <c r="AM230" t="s">
        <v>98</v>
      </c>
      <c r="AN230" t="s">
        <v>98</v>
      </c>
      <c r="AO230" t="s">
        <v>98</v>
      </c>
      <c r="AP230" t="s">
        <v>99</v>
      </c>
      <c r="AQ230" t="s">
        <v>102</v>
      </c>
      <c r="AV230" t="s">
        <v>98</v>
      </c>
      <c r="AX230" t="s">
        <v>371</v>
      </c>
      <c r="BF230" t="s">
        <v>866</v>
      </c>
      <c r="BG230" t="s">
        <v>98</v>
      </c>
      <c r="BH230" t="s">
        <v>98</v>
      </c>
      <c r="BI230" t="s">
        <v>98</v>
      </c>
      <c r="CB230" t="s">
        <v>371</v>
      </c>
      <c r="CL230" t="s">
        <v>98</v>
      </c>
      <c r="CM230" t="s">
        <v>98</v>
      </c>
      <c r="CP230" s="1">
        <v>43595</v>
      </c>
    </row>
    <row r="231" spans="1:94" x14ac:dyDescent="0.25">
      <c r="A231" s="4" t="s">
        <v>867</v>
      </c>
      <c r="B231" t="str">
        <f xml:space="preserve"> "" &amp; 706411056741</f>
        <v>706411056741</v>
      </c>
      <c r="C231" t="s">
        <v>795</v>
      </c>
      <c r="D231" t="s">
        <v>868</v>
      </c>
      <c r="F231" t="s">
        <v>135</v>
      </c>
      <c r="G231">
        <v>1</v>
      </c>
      <c r="H231">
        <v>1</v>
      </c>
      <c r="I231" t="s">
        <v>97</v>
      </c>
      <c r="J231" s="32">
        <v>7</v>
      </c>
      <c r="K231" s="32">
        <v>21</v>
      </c>
      <c r="L231">
        <v>0</v>
      </c>
      <c r="N231">
        <v>0</v>
      </c>
      <c r="S231">
        <v>1.88</v>
      </c>
      <c r="T231">
        <v>1.1299999999999999</v>
      </c>
      <c r="U231">
        <v>1.1299999999999999</v>
      </c>
      <c r="W231">
        <v>0.35</v>
      </c>
      <c r="X231">
        <v>1</v>
      </c>
      <c r="AB231">
        <v>1.0200000000000001E-2</v>
      </c>
      <c r="AC231">
        <v>0.37</v>
      </c>
      <c r="AK231" t="s">
        <v>98</v>
      </c>
      <c r="AM231" t="s">
        <v>98</v>
      </c>
      <c r="AN231" t="s">
        <v>98</v>
      </c>
      <c r="AO231" t="s">
        <v>98</v>
      </c>
      <c r="AP231" t="s">
        <v>99</v>
      </c>
      <c r="AQ231" t="s">
        <v>102</v>
      </c>
      <c r="AV231" t="s">
        <v>98</v>
      </c>
      <c r="AX231" t="s">
        <v>209</v>
      </c>
      <c r="BF231" t="s">
        <v>869</v>
      </c>
      <c r="BG231" t="s">
        <v>98</v>
      </c>
      <c r="BH231" t="s">
        <v>98</v>
      </c>
      <c r="BI231" t="s">
        <v>98</v>
      </c>
      <c r="BK231" t="s">
        <v>138</v>
      </c>
      <c r="CA231" t="s">
        <v>798</v>
      </c>
      <c r="CB231" t="s">
        <v>209</v>
      </c>
      <c r="CL231" t="s">
        <v>98</v>
      </c>
      <c r="CM231" t="s">
        <v>98</v>
      </c>
      <c r="CN231" t="s">
        <v>799</v>
      </c>
      <c r="CO231" s="1">
        <v>42858</v>
      </c>
      <c r="CP231" s="1">
        <v>43595</v>
      </c>
    </row>
    <row r="232" spans="1:94" x14ac:dyDescent="0.25">
      <c r="A232" s="4" t="s">
        <v>870</v>
      </c>
      <c r="B232" t="str">
        <f xml:space="preserve"> "" &amp; 706411027949</f>
        <v>706411027949</v>
      </c>
      <c r="C232" t="s">
        <v>795</v>
      </c>
      <c r="D232" t="s">
        <v>4470</v>
      </c>
      <c r="F232" t="s">
        <v>135</v>
      </c>
      <c r="G232">
        <v>1</v>
      </c>
      <c r="H232">
        <v>1</v>
      </c>
      <c r="I232" t="s">
        <v>97</v>
      </c>
      <c r="J232" s="32">
        <v>7</v>
      </c>
      <c r="K232" s="32">
        <v>21</v>
      </c>
      <c r="L232">
        <v>0</v>
      </c>
      <c r="N232">
        <v>0</v>
      </c>
      <c r="S232">
        <v>1.88</v>
      </c>
      <c r="T232">
        <v>1.1299999999999999</v>
      </c>
      <c r="U232">
        <v>1.1299999999999999</v>
      </c>
      <c r="V232">
        <v>0.37</v>
      </c>
      <c r="W232">
        <v>0.35</v>
      </c>
      <c r="X232">
        <v>1</v>
      </c>
      <c r="Y232">
        <v>13</v>
      </c>
      <c r="Z232">
        <v>23</v>
      </c>
      <c r="AA232">
        <v>23</v>
      </c>
      <c r="AB232">
        <v>0.48</v>
      </c>
      <c r="AC232">
        <v>0.37</v>
      </c>
      <c r="AK232" t="s">
        <v>98</v>
      </c>
      <c r="AM232" t="s">
        <v>98</v>
      </c>
      <c r="AN232" t="s">
        <v>98</v>
      </c>
      <c r="AO232" t="s">
        <v>98</v>
      </c>
      <c r="AP232" t="s">
        <v>99</v>
      </c>
      <c r="AQ232" t="s">
        <v>102</v>
      </c>
      <c r="AV232" t="s">
        <v>98</v>
      </c>
      <c r="AX232" t="s">
        <v>212</v>
      </c>
      <c r="BF232" t="s">
        <v>871</v>
      </c>
      <c r="BG232" t="s">
        <v>98</v>
      </c>
      <c r="BH232" t="s">
        <v>98</v>
      </c>
      <c r="BI232" t="s">
        <v>98</v>
      </c>
      <c r="BK232" t="s">
        <v>138</v>
      </c>
      <c r="CA232" t="s">
        <v>798</v>
      </c>
      <c r="CB232" t="s">
        <v>212</v>
      </c>
      <c r="CL232" t="s">
        <v>98</v>
      </c>
      <c r="CM232" t="s">
        <v>98</v>
      </c>
      <c r="CN232" t="s">
        <v>799</v>
      </c>
      <c r="CO232" s="1">
        <v>38457</v>
      </c>
      <c r="CP232" s="1">
        <v>43595</v>
      </c>
    </row>
    <row r="233" spans="1:94" x14ac:dyDescent="0.25">
      <c r="A233" s="4" t="s">
        <v>872</v>
      </c>
      <c r="B233" t="str">
        <f xml:space="preserve"> "" &amp; 706411034985</f>
        <v>706411034985</v>
      </c>
      <c r="C233" t="s">
        <v>795</v>
      </c>
      <c r="D233" t="s">
        <v>4471</v>
      </c>
      <c r="F233" t="s">
        <v>135</v>
      </c>
      <c r="G233">
        <v>1</v>
      </c>
      <c r="H233">
        <v>1</v>
      </c>
      <c r="I233" t="s">
        <v>97</v>
      </c>
      <c r="J233" s="32">
        <v>7</v>
      </c>
      <c r="K233" s="32">
        <v>21</v>
      </c>
      <c r="L233">
        <v>0</v>
      </c>
      <c r="N233">
        <v>0</v>
      </c>
      <c r="S233">
        <v>1.88</v>
      </c>
      <c r="T233">
        <v>1.1299999999999999</v>
      </c>
      <c r="U233">
        <v>1.1299999999999999</v>
      </c>
      <c r="W233">
        <v>0.35</v>
      </c>
      <c r="X233">
        <v>1</v>
      </c>
      <c r="Y233">
        <v>5.75</v>
      </c>
      <c r="Z233">
        <v>9.1300000000000008</v>
      </c>
      <c r="AA233">
        <v>9.1300000000000008</v>
      </c>
      <c r="AB233">
        <v>0.28000000000000003</v>
      </c>
      <c r="AC233">
        <v>0.37</v>
      </c>
      <c r="AK233" t="s">
        <v>98</v>
      </c>
      <c r="AM233" t="s">
        <v>98</v>
      </c>
      <c r="AN233" t="s">
        <v>98</v>
      </c>
      <c r="AO233" t="s">
        <v>98</v>
      </c>
      <c r="AP233" t="s">
        <v>99</v>
      </c>
      <c r="AQ233" t="s">
        <v>102</v>
      </c>
      <c r="AV233" t="s">
        <v>98</v>
      </c>
      <c r="AX233" t="s">
        <v>215</v>
      </c>
      <c r="BF233" t="s">
        <v>873</v>
      </c>
      <c r="BG233" t="s">
        <v>98</v>
      </c>
      <c r="BH233" t="s">
        <v>98</v>
      </c>
      <c r="BI233" t="s">
        <v>98</v>
      </c>
      <c r="BK233" t="s">
        <v>138</v>
      </c>
      <c r="CA233" t="s">
        <v>798</v>
      </c>
      <c r="CB233" t="s">
        <v>215</v>
      </c>
      <c r="CL233" t="s">
        <v>98</v>
      </c>
      <c r="CM233" t="s">
        <v>98</v>
      </c>
      <c r="CN233" t="s">
        <v>799</v>
      </c>
      <c r="CO233" s="1">
        <v>39728</v>
      </c>
      <c r="CP233" s="1">
        <v>43595</v>
      </c>
    </row>
    <row r="234" spans="1:94" x14ac:dyDescent="0.25">
      <c r="A234" s="4" t="s">
        <v>874</v>
      </c>
      <c r="B234" t="str">
        <f xml:space="preserve"> "" &amp; 706411027956</f>
        <v>706411027956</v>
      </c>
      <c r="C234" t="s">
        <v>795</v>
      </c>
      <c r="D234" t="s">
        <v>875</v>
      </c>
      <c r="F234" t="s">
        <v>135</v>
      </c>
      <c r="G234">
        <v>1</v>
      </c>
      <c r="H234">
        <v>1</v>
      </c>
      <c r="I234" t="s">
        <v>97</v>
      </c>
      <c r="J234" s="32">
        <v>7</v>
      </c>
      <c r="K234" s="32">
        <v>21</v>
      </c>
      <c r="L234">
        <v>0</v>
      </c>
      <c r="N234">
        <v>0</v>
      </c>
      <c r="S234">
        <v>1.88</v>
      </c>
      <c r="T234">
        <v>1.1299999999999999</v>
      </c>
      <c r="U234">
        <v>1.1299999999999999</v>
      </c>
      <c r="V234">
        <v>0.37</v>
      </c>
      <c r="W234">
        <v>0.35</v>
      </c>
      <c r="X234">
        <v>1</v>
      </c>
      <c r="Y234">
        <v>13</v>
      </c>
      <c r="Z234">
        <v>23</v>
      </c>
      <c r="AA234">
        <v>23</v>
      </c>
      <c r="AB234">
        <v>0.48</v>
      </c>
      <c r="AC234">
        <v>0.37</v>
      </c>
      <c r="AK234" t="s">
        <v>98</v>
      </c>
      <c r="AM234" t="s">
        <v>98</v>
      </c>
      <c r="AN234" t="s">
        <v>98</v>
      </c>
      <c r="AO234" t="s">
        <v>98</v>
      </c>
      <c r="AP234" t="s">
        <v>99</v>
      </c>
      <c r="AQ234" t="s">
        <v>102</v>
      </c>
      <c r="AV234" t="s">
        <v>98</v>
      </c>
      <c r="AX234" t="s">
        <v>382</v>
      </c>
      <c r="BF234" t="s">
        <v>876</v>
      </c>
      <c r="BG234" t="s">
        <v>98</v>
      </c>
      <c r="BH234" t="s">
        <v>98</v>
      </c>
      <c r="BI234" t="s">
        <v>98</v>
      </c>
      <c r="BK234" t="s">
        <v>138</v>
      </c>
      <c r="CA234" t="s">
        <v>798</v>
      </c>
      <c r="CB234" t="s">
        <v>382</v>
      </c>
      <c r="CL234" t="s">
        <v>98</v>
      </c>
      <c r="CM234" t="s">
        <v>98</v>
      </c>
      <c r="CN234" t="s">
        <v>799</v>
      </c>
      <c r="CO234" s="1">
        <v>38457</v>
      </c>
      <c r="CP234" s="1">
        <v>43595</v>
      </c>
    </row>
    <row r="235" spans="1:94" x14ac:dyDescent="0.25">
      <c r="A235" s="4" t="s">
        <v>877</v>
      </c>
      <c r="B235" t="str">
        <f xml:space="preserve"> "" &amp; 706411043048</f>
        <v>706411043048</v>
      </c>
      <c r="C235" t="s">
        <v>795</v>
      </c>
      <c r="D235" t="s">
        <v>878</v>
      </c>
      <c r="F235" t="s">
        <v>135</v>
      </c>
      <c r="G235">
        <v>1</v>
      </c>
      <c r="H235">
        <v>1</v>
      </c>
      <c r="I235" t="s">
        <v>97</v>
      </c>
      <c r="J235" s="32">
        <v>7</v>
      </c>
      <c r="K235" s="32">
        <v>21</v>
      </c>
      <c r="L235">
        <v>0</v>
      </c>
      <c r="N235">
        <v>0</v>
      </c>
      <c r="S235">
        <v>1.88</v>
      </c>
      <c r="T235">
        <v>1.1299999999999999</v>
      </c>
      <c r="U235">
        <v>1.1299999999999999</v>
      </c>
      <c r="W235">
        <v>0.35</v>
      </c>
      <c r="X235">
        <v>1</v>
      </c>
      <c r="AB235">
        <v>1.0200000000000001E-2</v>
      </c>
      <c r="AC235">
        <v>0.37</v>
      </c>
      <c r="AK235" t="s">
        <v>98</v>
      </c>
      <c r="AM235" t="s">
        <v>98</v>
      </c>
      <c r="AN235" t="s">
        <v>98</v>
      </c>
      <c r="AO235" t="s">
        <v>98</v>
      </c>
      <c r="AP235" t="s">
        <v>99</v>
      </c>
      <c r="AQ235" t="s">
        <v>102</v>
      </c>
      <c r="AV235" t="s">
        <v>98</v>
      </c>
      <c r="AX235" t="s">
        <v>219</v>
      </c>
      <c r="BF235" t="s">
        <v>879</v>
      </c>
      <c r="BG235" t="s">
        <v>98</v>
      </c>
      <c r="BH235" t="s">
        <v>98</v>
      </c>
      <c r="BI235" t="s">
        <v>98</v>
      </c>
      <c r="BK235" t="s">
        <v>138</v>
      </c>
      <c r="CB235" t="s">
        <v>219</v>
      </c>
      <c r="CL235" t="s">
        <v>98</v>
      </c>
      <c r="CM235" t="s">
        <v>98</v>
      </c>
      <c r="CN235" t="s">
        <v>799</v>
      </c>
      <c r="CP235" s="1">
        <v>43595</v>
      </c>
    </row>
    <row r="236" spans="1:94" x14ac:dyDescent="0.25">
      <c r="A236" s="4" t="s">
        <v>880</v>
      </c>
      <c r="B236" t="str">
        <f xml:space="preserve"> "" &amp; 706411033483</f>
        <v>706411033483</v>
      </c>
      <c r="C236" t="s">
        <v>795</v>
      </c>
      <c r="D236" t="s">
        <v>881</v>
      </c>
      <c r="F236" t="s">
        <v>135</v>
      </c>
      <c r="G236">
        <v>1</v>
      </c>
      <c r="H236">
        <v>1</v>
      </c>
      <c r="I236" t="s">
        <v>97</v>
      </c>
      <c r="J236" s="32">
        <v>7</v>
      </c>
      <c r="K236" s="32">
        <v>21</v>
      </c>
      <c r="L236">
        <v>0</v>
      </c>
      <c r="N236">
        <v>0</v>
      </c>
      <c r="S236">
        <v>1.88</v>
      </c>
      <c r="T236">
        <v>1.1299999999999999</v>
      </c>
      <c r="U236">
        <v>1.1299999999999999</v>
      </c>
      <c r="W236">
        <v>0.35</v>
      </c>
      <c r="X236">
        <v>1</v>
      </c>
      <c r="Y236">
        <v>5.75</v>
      </c>
      <c r="Z236">
        <v>9.1300000000000008</v>
      </c>
      <c r="AA236">
        <v>9.3000000000000007</v>
      </c>
      <c r="AB236">
        <v>0.28000000000000003</v>
      </c>
      <c r="AC236">
        <v>0.37</v>
      </c>
      <c r="AK236" t="s">
        <v>98</v>
      </c>
      <c r="AM236" t="s">
        <v>98</v>
      </c>
      <c r="AN236" t="s">
        <v>98</v>
      </c>
      <c r="AO236" t="s">
        <v>98</v>
      </c>
      <c r="AP236" t="s">
        <v>99</v>
      </c>
      <c r="AQ236" t="s">
        <v>102</v>
      </c>
      <c r="AV236" t="s">
        <v>98</v>
      </c>
      <c r="AX236" t="s">
        <v>223</v>
      </c>
      <c r="BF236" t="s">
        <v>882</v>
      </c>
      <c r="BG236" t="s">
        <v>98</v>
      </c>
      <c r="BH236" t="s">
        <v>98</v>
      </c>
      <c r="BI236" t="s">
        <v>98</v>
      </c>
      <c r="BK236" t="s">
        <v>138</v>
      </c>
      <c r="CA236" t="s">
        <v>798</v>
      </c>
      <c r="CB236" t="s">
        <v>223</v>
      </c>
      <c r="CL236" t="s">
        <v>98</v>
      </c>
      <c r="CM236" t="s">
        <v>98</v>
      </c>
      <c r="CN236" t="s">
        <v>799</v>
      </c>
      <c r="CO236" s="1">
        <v>39728</v>
      </c>
      <c r="CP236" s="1">
        <v>43595</v>
      </c>
    </row>
    <row r="237" spans="1:94" x14ac:dyDescent="0.25">
      <c r="A237" s="4" t="s">
        <v>883</v>
      </c>
      <c r="B237" t="str">
        <f xml:space="preserve"> "" &amp; 706411038860</f>
        <v>706411038860</v>
      </c>
      <c r="C237" t="s">
        <v>795</v>
      </c>
      <c r="D237" t="s">
        <v>884</v>
      </c>
      <c r="F237" t="s">
        <v>135</v>
      </c>
      <c r="G237">
        <v>1</v>
      </c>
      <c r="H237">
        <v>1</v>
      </c>
      <c r="I237" t="s">
        <v>97</v>
      </c>
      <c r="J237" s="32">
        <v>7</v>
      </c>
      <c r="K237" s="32">
        <v>21</v>
      </c>
      <c r="L237">
        <v>0</v>
      </c>
      <c r="N237">
        <v>0</v>
      </c>
      <c r="S237">
        <v>1.88</v>
      </c>
      <c r="T237">
        <v>1.1299999999999999</v>
      </c>
      <c r="U237">
        <v>1.1299999999999999</v>
      </c>
      <c r="V237">
        <v>0.37</v>
      </c>
      <c r="W237">
        <v>0.35</v>
      </c>
      <c r="X237">
        <v>1</v>
      </c>
      <c r="Y237">
        <v>5.75</v>
      </c>
      <c r="Z237">
        <v>9.1300000000000008</v>
      </c>
      <c r="AA237">
        <v>9.1300000000000008</v>
      </c>
      <c r="AB237">
        <v>0.28000000000000003</v>
      </c>
      <c r="AC237">
        <v>0.37</v>
      </c>
      <c r="AK237" t="s">
        <v>98</v>
      </c>
      <c r="AM237" t="s">
        <v>98</v>
      </c>
      <c r="AN237" t="s">
        <v>98</v>
      </c>
      <c r="AO237" t="s">
        <v>98</v>
      </c>
      <c r="AP237" t="s">
        <v>99</v>
      </c>
      <c r="AQ237" t="s">
        <v>102</v>
      </c>
      <c r="AV237" t="s">
        <v>98</v>
      </c>
      <c r="AX237" t="s">
        <v>227</v>
      </c>
      <c r="BF237" t="s">
        <v>885</v>
      </c>
      <c r="BG237" t="s">
        <v>98</v>
      </c>
      <c r="BH237" t="s">
        <v>98</v>
      </c>
      <c r="BI237" t="s">
        <v>98</v>
      </c>
      <c r="BK237" t="s">
        <v>138</v>
      </c>
      <c r="CA237" t="s">
        <v>798</v>
      </c>
      <c r="CB237" t="s">
        <v>227</v>
      </c>
      <c r="CL237" t="s">
        <v>98</v>
      </c>
      <c r="CM237" t="s">
        <v>98</v>
      </c>
      <c r="CN237" t="s">
        <v>799</v>
      </c>
      <c r="CO237" s="1">
        <v>40240</v>
      </c>
      <c r="CP237" s="1">
        <v>43595</v>
      </c>
    </row>
    <row r="238" spans="1:94" x14ac:dyDescent="0.25">
      <c r="A238" s="4" t="s">
        <v>886</v>
      </c>
      <c r="B238" t="str">
        <f xml:space="preserve"> "" &amp; 706411028342</f>
        <v>706411028342</v>
      </c>
      <c r="C238" t="s">
        <v>795</v>
      </c>
      <c r="D238" t="s">
        <v>887</v>
      </c>
      <c r="F238" t="s">
        <v>135</v>
      </c>
      <c r="G238">
        <v>1</v>
      </c>
      <c r="H238">
        <v>1</v>
      </c>
      <c r="I238" t="s">
        <v>97</v>
      </c>
      <c r="J238" s="32">
        <v>7</v>
      </c>
      <c r="K238" s="32">
        <v>21</v>
      </c>
      <c r="L238">
        <v>0</v>
      </c>
      <c r="N238">
        <v>0</v>
      </c>
      <c r="S238">
        <v>1.88</v>
      </c>
      <c r="T238">
        <v>1.1299999999999999</v>
      </c>
      <c r="U238">
        <v>1.1299999999999999</v>
      </c>
      <c r="V238">
        <v>0.37</v>
      </c>
      <c r="W238">
        <v>0.35</v>
      </c>
      <c r="X238">
        <v>1</v>
      </c>
      <c r="Y238">
        <v>5.75</v>
      </c>
      <c r="Z238">
        <v>9.1300000000000008</v>
      </c>
      <c r="AA238">
        <v>9.1300000000000008</v>
      </c>
      <c r="AB238">
        <v>0.28000000000000003</v>
      </c>
      <c r="AC238">
        <v>0.37</v>
      </c>
      <c r="AK238" t="s">
        <v>98</v>
      </c>
      <c r="AM238" t="s">
        <v>98</v>
      </c>
      <c r="AN238" t="s">
        <v>98</v>
      </c>
      <c r="AO238" t="s">
        <v>98</v>
      </c>
      <c r="AP238" t="s">
        <v>99</v>
      </c>
      <c r="AQ238" t="s">
        <v>102</v>
      </c>
      <c r="AV238" t="s">
        <v>98</v>
      </c>
      <c r="AX238" t="s">
        <v>231</v>
      </c>
      <c r="BF238" t="s">
        <v>888</v>
      </c>
      <c r="BG238" t="s">
        <v>98</v>
      </c>
      <c r="BH238" t="s">
        <v>98</v>
      </c>
      <c r="BI238" t="s">
        <v>98</v>
      </c>
      <c r="BK238" t="s">
        <v>138</v>
      </c>
      <c r="CA238" t="s">
        <v>798</v>
      </c>
      <c r="CB238" t="s">
        <v>231</v>
      </c>
      <c r="CL238" t="s">
        <v>98</v>
      </c>
      <c r="CM238" t="s">
        <v>98</v>
      </c>
      <c r="CO238" s="1">
        <v>38457</v>
      </c>
      <c r="CP238" s="1">
        <v>43595</v>
      </c>
    </row>
    <row r="239" spans="1:94" x14ac:dyDescent="0.25">
      <c r="A239" s="4" t="s">
        <v>889</v>
      </c>
      <c r="B239" t="str">
        <f xml:space="preserve"> "" &amp; 706411028199</f>
        <v>706411028199</v>
      </c>
      <c r="C239" t="s">
        <v>795</v>
      </c>
      <c r="D239" t="s">
        <v>890</v>
      </c>
      <c r="F239" t="s">
        <v>135</v>
      </c>
      <c r="G239">
        <v>1</v>
      </c>
      <c r="H239">
        <v>1</v>
      </c>
      <c r="I239" t="s">
        <v>97</v>
      </c>
      <c r="J239" s="32">
        <v>7</v>
      </c>
      <c r="K239" s="32">
        <v>21</v>
      </c>
      <c r="L239">
        <v>0</v>
      </c>
      <c r="N239">
        <v>0</v>
      </c>
      <c r="S239">
        <v>1.88</v>
      </c>
      <c r="T239">
        <v>1.1299999999999999</v>
      </c>
      <c r="U239">
        <v>1.1299999999999999</v>
      </c>
      <c r="W239">
        <v>0.35</v>
      </c>
      <c r="X239">
        <v>1</v>
      </c>
      <c r="Y239">
        <v>5.75</v>
      </c>
      <c r="Z239">
        <v>9.1300000000000008</v>
      </c>
      <c r="AA239">
        <v>9.1300000000000008</v>
      </c>
      <c r="AB239">
        <v>0.28000000000000003</v>
      </c>
      <c r="AC239">
        <v>0.37</v>
      </c>
      <c r="AK239" t="s">
        <v>98</v>
      </c>
      <c r="AM239" t="s">
        <v>98</v>
      </c>
      <c r="AN239" t="s">
        <v>98</v>
      </c>
      <c r="AO239" t="s">
        <v>98</v>
      </c>
      <c r="AP239" t="s">
        <v>99</v>
      </c>
      <c r="AQ239" t="s">
        <v>102</v>
      </c>
      <c r="AV239" t="s">
        <v>98</v>
      </c>
      <c r="AX239" t="s">
        <v>235</v>
      </c>
      <c r="BF239" t="s">
        <v>891</v>
      </c>
      <c r="BG239" t="s">
        <v>98</v>
      </c>
      <c r="BH239" t="s">
        <v>98</v>
      </c>
      <c r="BI239" t="s">
        <v>98</v>
      </c>
      <c r="BK239" t="s">
        <v>138</v>
      </c>
      <c r="CA239" t="s">
        <v>798</v>
      </c>
      <c r="CB239" t="s">
        <v>235</v>
      </c>
      <c r="CL239" t="s">
        <v>98</v>
      </c>
      <c r="CM239" t="s">
        <v>98</v>
      </c>
      <c r="CN239" t="s">
        <v>799</v>
      </c>
      <c r="CO239" s="1">
        <v>39728</v>
      </c>
      <c r="CP239" s="1">
        <v>43595</v>
      </c>
    </row>
    <row r="240" spans="1:94" x14ac:dyDescent="0.25">
      <c r="A240" s="4" t="s">
        <v>892</v>
      </c>
      <c r="B240" t="str">
        <f xml:space="preserve"> "" &amp; 706411035036</f>
        <v>706411035036</v>
      </c>
      <c r="C240" t="s">
        <v>795</v>
      </c>
      <c r="D240" t="s">
        <v>4472</v>
      </c>
      <c r="F240" t="s">
        <v>135</v>
      </c>
      <c r="G240">
        <v>1</v>
      </c>
      <c r="H240">
        <v>1</v>
      </c>
      <c r="I240" t="s">
        <v>97</v>
      </c>
      <c r="J240" s="32">
        <v>7</v>
      </c>
      <c r="K240" s="32">
        <v>21</v>
      </c>
      <c r="L240">
        <v>0</v>
      </c>
      <c r="N240">
        <v>0</v>
      </c>
      <c r="S240">
        <v>1.88</v>
      </c>
      <c r="T240">
        <v>1.1299999999999999</v>
      </c>
      <c r="U240">
        <v>1.1299999999999999</v>
      </c>
      <c r="W240">
        <v>0.35</v>
      </c>
      <c r="X240">
        <v>1</v>
      </c>
      <c r="Y240">
        <v>5.75</v>
      </c>
      <c r="Z240">
        <v>9.1300000000000008</v>
      </c>
      <c r="AA240">
        <v>9.1300000000000008</v>
      </c>
      <c r="AB240">
        <v>0.28000000000000003</v>
      </c>
      <c r="AC240">
        <v>0.37</v>
      </c>
      <c r="AK240" t="s">
        <v>98</v>
      </c>
      <c r="AM240" t="s">
        <v>98</v>
      </c>
      <c r="AN240" t="s">
        <v>98</v>
      </c>
      <c r="AO240" t="s">
        <v>98</v>
      </c>
      <c r="AP240" t="s">
        <v>99</v>
      </c>
      <c r="AQ240" t="s">
        <v>102</v>
      </c>
      <c r="AV240" t="s">
        <v>98</v>
      </c>
      <c r="AX240" t="s">
        <v>238</v>
      </c>
      <c r="BF240" t="s">
        <v>893</v>
      </c>
      <c r="BG240" t="s">
        <v>98</v>
      </c>
      <c r="BH240" t="s">
        <v>98</v>
      </c>
      <c r="BI240" t="s">
        <v>98</v>
      </c>
      <c r="BK240" t="s">
        <v>138</v>
      </c>
      <c r="CA240" t="s">
        <v>798</v>
      </c>
      <c r="CB240" t="s">
        <v>238</v>
      </c>
      <c r="CL240" t="s">
        <v>98</v>
      </c>
      <c r="CM240" t="s">
        <v>98</v>
      </c>
      <c r="CN240" t="s">
        <v>799</v>
      </c>
      <c r="CO240" s="1">
        <v>39728</v>
      </c>
      <c r="CP240" s="1">
        <v>43595</v>
      </c>
    </row>
    <row r="241" spans="1:94" x14ac:dyDescent="0.25">
      <c r="A241" s="4" t="s">
        <v>894</v>
      </c>
      <c r="B241" t="str">
        <f xml:space="preserve"> "" &amp; 706411053122</f>
        <v>706411053122</v>
      </c>
      <c r="C241" t="s">
        <v>795</v>
      </c>
      <c r="D241" t="s">
        <v>895</v>
      </c>
      <c r="F241" t="s">
        <v>135</v>
      </c>
      <c r="G241">
        <v>1</v>
      </c>
      <c r="H241">
        <v>1</v>
      </c>
      <c r="I241" t="s">
        <v>97</v>
      </c>
      <c r="J241" s="32">
        <v>7</v>
      </c>
      <c r="K241" s="32">
        <v>21</v>
      </c>
      <c r="L241">
        <v>0</v>
      </c>
      <c r="N241">
        <v>0</v>
      </c>
      <c r="S241">
        <v>1.88</v>
      </c>
      <c r="T241">
        <v>1.1299999999999999</v>
      </c>
      <c r="U241">
        <v>1.1299999999999999</v>
      </c>
      <c r="W241">
        <v>0.35</v>
      </c>
      <c r="X241">
        <v>1</v>
      </c>
      <c r="AB241">
        <v>1.0200000000000001E-2</v>
      </c>
      <c r="AC241">
        <v>0.37</v>
      </c>
      <c r="AK241" t="s">
        <v>98</v>
      </c>
      <c r="AM241" t="s">
        <v>98</v>
      </c>
      <c r="AN241" t="s">
        <v>98</v>
      </c>
      <c r="AO241" t="s">
        <v>98</v>
      </c>
      <c r="AP241" t="s">
        <v>99</v>
      </c>
      <c r="AQ241" t="s">
        <v>102</v>
      </c>
      <c r="AV241" t="s">
        <v>98</v>
      </c>
      <c r="AX241" t="s">
        <v>404</v>
      </c>
      <c r="BF241" t="s">
        <v>896</v>
      </c>
      <c r="BG241" t="s">
        <v>98</v>
      </c>
      <c r="BH241" t="s">
        <v>98</v>
      </c>
      <c r="BI241" t="s">
        <v>98</v>
      </c>
      <c r="BK241" t="s">
        <v>138</v>
      </c>
      <c r="CA241" t="s">
        <v>798</v>
      </c>
      <c r="CB241" t="s">
        <v>404</v>
      </c>
      <c r="CL241" t="s">
        <v>98</v>
      </c>
      <c r="CM241" t="s">
        <v>98</v>
      </c>
      <c r="CN241" t="s">
        <v>799</v>
      </c>
      <c r="CP241" s="1">
        <v>43595</v>
      </c>
    </row>
    <row r="242" spans="1:94" x14ac:dyDescent="0.25">
      <c r="A242" s="4" t="s">
        <v>897</v>
      </c>
      <c r="B242" t="str">
        <f xml:space="preserve"> "" &amp; 706411027963</f>
        <v>706411027963</v>
      </c>
      <c r="C242" t="s">
        <v>795</v>
      </c>
      <c r="D242" t="s">
        <v>898</v>
      </c>
      <c r="F242" t="s">
        <v>135</v>
      </c>
      <c r="G242">
        <v>1</v>
      </c>
      <c r="H242">
        <v>1</v>
      </c>
      <c r="I242" t="s">
        <v>97</v>
      </c>
      <c r="J242" s="32">
        <v>7</v>
      </c>
      <c r="K242" s="32">
        <v>21</v>
      </c>
      <c r="L242">
        <v>0</v>
      </c>
      <c r="N242">
        <v>0</v>
      </c>
      <c r="S242">
        <v>1.88</v>
      </c>
      <c r="T242">
        <v>1.1299999999999999</v>
      </c>
      <c r="U242">
        <v>1.1299999999999999</v>
      </c>
      <c r="V242">
        <v>0.37</v>
      </c>
      <c r="W242">
        <v>0.35</v>
      </c>
      <c r="X242">
        <v>1</v>
      </c>
      <c r="Y242">
        <v>13</v>
      </c>
      <c r="Z242">
        <v>23</v>
      </c>
      <c r="AA242">
        <v>23</v>
      </c>
      <c r="AB242">
        <v>0.48</v>
      </c>
      <c r="AC242">
        <v>0.37</v>
      </c>
      <c r="AK242" t="s">
        <v>98</v>
      </c>
      <c r="AM242" t="s">
        <v>98</v>
      </c>
      <c r="AN242" t="s">
        <v>98</v>
      </c>
      <c r="AO242" t="s">
        <v>98</v>
      </c>
      <c r="AP242" t="s">
        <v>99</v>
      </c>
      <c r="AQ242" t="s">
        <v>102</v>
      </c>
      <c r="AV242" t="s">
        <v>98</v>
      </c>
      <c r="AX242" t="s">
        <v>245</v>
      </c>
      <c r="BF242" t="s">
        <v>899</v>
      </c>
      <c r="BG242" t="s">
        <v>98</v>
      </c>
      <c r="BH242" t="s">
        <v>98</v>
      </c>
      <c r="BI242" t="s">
        <v>98</v>
      </c>
      <c r="BK242" t="s">
        <v>138</v>
      </c>
      <c r="CA242" t="s">
        <v>798</v>
      </c>
      <c r="CB242" t="s">
        <v>245</v>
      </c>
      <c r="CL242" t="s">
        <v>98</v>
      </c>
      <c r="CM242" t="s">
        <v>98</v>
      </c>
      <c r="CN242" t="s">
        <v>799</v>
      </c>
      <c r="CO242" s="1">
        <v>38457</v>
      </c>
      <c r="CP242" s="1">
        <v>43595</v>
      </c>
    </row>
    <row r="243" spans="1:94" x14ac:dyDescent="0.25">
      <c r="A243" s="4" t="s">
        <v>900</v>
      </c>
      <c r="B243" t="str">
        <f xml:space="preserve"> "" &amp; 706411039591</f>
        <v>706411039591</v>
      </c>
      <c r="C243" t="s">
        <v>795</v>
      </c>
      <c r="D243" t="s">
        <v>901</v>
      </c>
      <c r="F243" t="s">
        <v>135</v>
      </c>
      <c r="G243">
        <v>1</v>
      </c>
      <c r="H243">
        <v>1</v>
      </c>
      <c r="I243" t="s">
        <v>97</v>
      </c>
      <c r="J243" s="32">
        <v>7</v>
      </c>
      <c r="K243" s="32">
        <v>21</v>
      </c>
      <c r="L243">
        <v>0</v>
      </c>
      <c r="N243">
        <v>0</v>
      </c>
      <c r="S243">
        <v>1.88</v>
      </c>
      <c r="T243">
        <v>1.1299999999999999</v>
      </c>
      <c r="U243">
        <v>1.1299999999999999</v>
      </c>
      <c r="W243">
        <v>0.35</v>
      </c>
      <c r="X243">
        <v>1</v>
      </c>
      <c r="AB243">
        <v>1.0200000000000001E-2</v>
      </c>
      <c r="AC243">
        <v>0.37</v>
      </c>
      <c r="AK243" t="s">
        <v>98</v>
      </c>
      <c r="AM243" t="s">
        <v>98</v>
      </c>
      <c r="AN243" t="s">
        <v>98</v>
      </c>
      <c r="AO243" t="s">
        <v>98</v>
      </c>
      <c r="AP243" t="s">
        <v>99</v>
      </c>
      <c r="AQ243" t="s">
        <v>102</v>
      </c>
      <c r="AV243" t="s">
        <v>98</v>
      </c>
      <c r="AX243" t="s">
        <v>249</v>
      </c>
      <c r="BF243" t="s">
        <v>902</v>
      </c>
      <c r="BG243" t="s">
        <v>98</v>
      </c>
      <c r="BH243" t="s">
        <v>98</v>
      </c>
      <c r="BI243" t="s">
        <v>98</v>
      </c>
      <c r="BK243" t="s">
        <v>138</v>
      </c>
      <c r="CA243" t="s">
        <v>798</v>
      </c>
      <c r="CB243" t="s">
        <v>249</v>
      </c>
      <c r="CL243" t="s">
        <v>98</v>
      </c>
      <c r="CM243" t="s">
        <v>98</v>
      </c>
      <c r="CN243" t="s">
        <v>799</v>
      </c>
      <c r="CP243" s="1">
        <v>43595</v>
      </c>
    </row>
    <row r="244" spans="1:94" x14ac:dyDescent="0.25">
      <c r="A244" s="4" t="s">
        <v>903</v>
      </c>
      <c r="B244" t="str">
        <f xml:space="preserve"> "" &amp; 706411038877</f>
        <v>706411038877</v>
      </c>
      <c r="C244" t="s">
        <v>795</v>
      </c>
      <c r="D244" t="s">
        <v>904</v>
      </c>
      <c r="F244" t="s">
        <v>135</v>
      </c>
      <c r="G244">
        <v>1</v>
      </c>
      <c r="H244">
        <v>1</v>
      </c>
      <c r="I244" t="s">
        <v>97</v>
      </c>
      <c r="J244" s="32">
        <v>7</v>
      </c>
      <c r="K244" s="32">
        <v>21</v>
      </c>
      <c r="L244">
        <v>0</v>
      </c>
      <c r="N244">
        <v>0</v>
      </c>
      <c r="S244">
        <v>1.88</v>
      </c>
      <c r="T244">
        <v>1.1299999999999999</v>
      </c>
      <c r="U244">
        <v>1.1299999999999999</v>
      </c>
      <c r="V244">
        <v>0.37</v>
      </c>
      <c r="W244">
        <v>0.35</v>
      </c>
      <c r="X244">
        <v>1</v>
      </c>
      <c r="Y244">
        <v>5.75</v>
      </c>
      <c r="Z244">
        <v>9.1300000000000008</v>
      </c>
      <c r="AA244">
        <v>9.1300000000000008</v>
      </c>
      <c r="AB244">
        <v>0.28000000000000003</v>
      </c>
      <c r="AC244">
        <v>0.37</v>
      </c>
      <c r="AK244" t="s">
        <v>98</v>
      </c>
      <c r="AM244" t="s">
        <v>98</v>
      </c>
      <c r="AN244" t="s">
        <v>98</v>
      </c>
      <c r="AO244" t="s">
        <v>98</v>
      </c>
      <c r="AP244" t="s">
        <v>99</v>
      </c>
      <c r="AQ244" t="s">
        <v>102</v>
      </c>
      <c r="AV244" t="s">
        <v>98</v>
      </c>
      <c r="AX244" t="s">
        <v>253</v>
      </c>
      <c r="BF244" t="s">
        <v>905</v>
      </c>
      <c r="BG244" t="s">
        <v>98</v>
      </c>
      <c r="BH244" t="s">
        <v>98</v>
      </c>
      <c r="BI244" t="s">
        <v>98</v>
      </c>
      <c r="BK244" t="s">
        <v>138</v>
      </c>
      <c r="CA244" t="s">
        <v>798</v>
      </c>
      <c r="CB244" t="s">
        <v>253</v>
      </c>
      <c r="CL244" t="s">
        <v>98</v>
      </c>
      <c r="CM244" t="s">
        <v>98</v>
      </c>
      <c r="CN244" t="s">
        <v>799</v>
      </c>
      <c r="CO244" s="1">
        <v>40240</v>
      </c>
      <c r="CP244" s="1">
        <v>43595</v>
      </c>
    </row>
    <row r="245" spans="1:94" x14ac:dyDescent="0.25">
      <c r="A245" s="4" t="s">
        <v>906</v>
      </c>
      <c r="B245" t="str">
        <f xml:space="preserve"> "" &amp; 706411041563</f>
        <v>706411041563</v>
      </c>
      <c r="C245" t="s">
        <v>795</v>
      </c>
      <c r="D245" t="s">
        <v>907</v>
      </c>
      <c r="F245" t="s">
        <v>135</v>
      </c>
      <c r="G245">
        <v>1</v>
      </c>
      <c r="H245">
        <v>1</v>
      </c>
      <c r="I245" t="s">
        <v>97</v>
      </c>
      <c r="J245" s="32">
        <v>7</v>
      </c>
      <c r="K245" s="32">
        <v>21</v>
      </c>
      <c r="L245">
        <v>0</v>
      </c>
      <c r="N245">
        <v>0</v>
      </c>
      <c r="S245">
        <v>1.88</v>
      </c>
      <c r="T245">
        <v>1.1299999999999999</v>
      </c>
      <c r="U245">
        <v>1.1299999999999999</v>
      </c>
      <c r="V245">
        <v>0.37</v>
      </c>
      <c r="W245">
        <v>0.35</v>
      </c>
      <c r="X245">
        <v>1</v>
      </c>
      <c r="Y245">
        <v>5.75</v>
      </c>
      <c r="Z245">
        <v>9.1300000000000008</v>
      </c>
      <c r="AA245">
        <v>9.1300000000000008</v>
      </c>
      <c r="AB245">
        <v>0.28000000000000003</v>
      </c>
      <c r="AC245">
        <v>0.37</v>
      </c>
      <c r="AK245" t="s">
        <v>98</v>
      </c>
      <c r="AM245" t="s">
        <v>98</v>
      </c>
      <c r="AN245" t="s">
        <v>98</v>
      </c>
      <c r="AO245" t="s">
        <v>98</v>
      </c>
      <c r="AP245" t="s">
        <v>99</v>
      </c>
      <c r="AQ245" t="s">
        <v>102</v>
      </c>
      <c r="AV245" t="s">
        <v>98</v>
      </c>
      <c r="AX245" t="s">
        <v>257</v>
      </c>
      <c r="BF245" t="s">
        <v>908</v>
      </c>
      <c r="BG245" t="s">
        <v>98</v>
      </c>
      <c r="BH245" t="s">
        <v>98</v>
      </c>
      <c r="BI245" t="s">
        <v>98</v>
      </c>
      <c r="BK245" t="s">
        <v>138</v>
      </c>
      <c r="CA245" t="s">
        <v>798</v>
      </c>
      <c r="CB245" t="s">
        <v>257</v>
      </c>
      <c r="CL245" t="s">
        <v>98</v>
      </c>
      <c r="CM245" t="s">
        <v>98</v>
      </c>
      <c r="CN245" t="s">
        <v>799</v>
      </c>
      <c r="CO245" s="1">
        <v>40240</v>
      </c>
      <c r="CP245" s="1">
        <v>43595</v>
      </c>
    </row>
    <row r="246" spans="1:94" x14ac:dyDescent="0.25">
      <c r="A246" s="4" t="s">
        <v>909</v>
      </c>
      <c r="B246" t="str">
        <f xml:space="preserve"> "" &amp; 706411028076</f>
        <v>706411028076</v>
      </c>
      <c r="C246" t="s">
        <v>795</v>
      </c>
      <c r="D246" t="s">
        <v>910</v>
      </c>
      <c r="F246" t="s">
        <v>135</v>
      </c>
      <c r="G246">
        <v>1</v>
      </c>
      <c r="H246">
        <v>1</v>
      </c>
      <c r="I246" t="s">
        <v>97</v>
      </c>
      <c r="J246" s="32">
        <v>7</v>
      </c>
      <c r="K246" s="32">
        <v>21</v>
      </c>
      <c r="L246">
        <v>0</v>
      </c>
      <c r="N246">
        <v>0</v>
      </c>
      <c r="S246">
        <v>1.88</v>
      </c>
      <c r="T246">
        <v>1.1299999999999999</v>
      </c>
      <c r="U246">
        <v>1.1299999999999999</v>
      </c>
      <c r="V246">
        <v>0.37</v>
      </c>
      <c r="W246">
        <v>0.35</v>
      </c>
      <c r="X246">
        <v>1</v>
      </c>
      <c r="Y246">
        <v>13</v>
      </c>
      <c r="Z246">
        <v>23</v>
      </c>
      <c r="AA246">
        <v>23</v>
      </c>
      <c r="AB246">
        <v>0.48</v>
      </c>
      <c r="AC246">
        <v>0.37</v>
      </c>
      <c r="AK246" t="s">
        <v>98</v>
      </c>
      <c r="AM246" t="s">
        <v>98</v>
      </c>
      <c r="AN246" t="s">
        <v>98</v>
      </c>
      <c r="AO246" t="s">
        <v>98</v>
      </c>
      <c r="AP246" t="s">
        <v>99</v>
      </c>
      <c r="AQ246" t="s">
        <v>102</v>
      </c>
      <c r="AV246" t="s">
        <v>98</v>
      </c>
      <c r="AX246" t="s">
        <v>261</v>
      </c>
      <c r="BF246" t="s">
        <v>911</v>
      </c>
      <c r="BG246" t="s">
        <v>98</v>
      </c>
      <c r="BH246" t="s">
        <v>98</v>
      </c>
      <c r="BI246" t="s">
        <v>98</v>
      </c>
      <c r="BK246" t="s">
        <v>138</v>
      </c>
      <c r="CA246" t="s">
        <v>798</v>
      </c>
      <c r="CB246" t="s">
        <v>261</v>
      </c>
      <c r="CL246" t="s">
        <v>98</v>
      </c>
      <c r="CM246" t="s">
        <v>98</v>
      </c>
      <c r="CN246" t="s">
        <v>799</v>
      </c>
      <c r="CO246" s="1">
        <v>38457</v>
      </c>
      <c r="CP246" s="1">
        <v>43595</v>
      </c>
    </row>
    <row r="247" spans="1:94" x14ac:dyDescent="0.25">
      <c r="A247" s="4" t="s">
        <v>912</v>
      </c>
      <c r="B247" t="str">
        <f xml:space="preserve"> "" &amp; 706411035012</f>
        <v>706411035012</v>
      </c>
      <c r="C247" t="s">
        <v>795</v>
      </c>
      <c r="D247" t="s">
        <v>913</v>
      </c>
      <c r="F247" t="s">
        <v>135</v>
      </c>
      <c r="G247">
        <v>1</v>
      </c>
      <c r="H247">
        <v>1</v>
      </c>
      <c r="I247" t="s">
        <v>97</v>
      </c>
      <c r="J247" s="32">
        <v>7</v>
      </c>
      <c r="K247" s="32">
        <v>21</v>
      </c>
      <c r="L247">
        <v>0</v>
      </c>
      <c r="N247">
        <v>0</v>
      </c>
      <c r="S247">
        <v>1.88</v>
      </c>
      <c r="T247">
        <v>1.1299999999999999</v>
      </c>
      <c r="U247">
        <v>1.1299999999999999</v>
      </c>
      <c r="W247">
        <v>0.35</v>
      </c>
      <c r="X247">
        <v>1</v>
      </c>
      <c r="Y247">
        <v>5.75</v>
      </c>
      <c r="Z247">
        <v>9.1300000000000008</v>
      </c>
      <c r="AA247">
        <v>9.1300000000000008</v>
      </c>
      <c r="AB247">
        <v>0.28000000000000003</v>
      </c>
      <c r="AC247">
        <v>0.37</v>
      </c>
      <c r="AK247" t="s">
        <v>98</v>
      </c>
      <c r="AM247" t="s">
        <v>98</v>
      </c>
      <c r="AN247" t="s">
        <v>98</v>
      </c>
      <c r="AO247" t="s">
        <v>98</v>
      </c>
      <c r="AP247" t="s">
        <v>99</v>
      </c>
      <c r="AQ247" t="s">
        <v>102</v>
      </c>
      <c r="AV247" t="s">
        <v>98</v>
      </c>
      <c r="AX247" t="s">
        <v>265</v>
      </c>
      <c r="BF247" t="s">
        <v>914</v>
      </c>
      <c r="BG247" t="s">
        <v>98</v>
      </c>
      <c r="BH247" t="s">
        <v>98</v>
      </c>
      <c r="BI247" t="s">
        <v>98</v>
      </c>
      <c r="BK247" t="s">
        <v>138</v>
      </c>
      <c r="CA247" t="s">
        <v>798</v>
      </c>
      <c r="CB247" t="s">
        <v>265</v>
      </c>
      <c r="CL247" t="s">
        <v>98</v>
      </c>
      <c r="CM247" t="s">
        <v>98</v>
      </c>
      <c r="CN247" t="s">
        <v>799</v>
      </c>
      <c r="CO247" s="1">
        <v>39728</v>
      </c>
      <c r="CP247" s="1">
        <v>43595</v>
      </c>
    </row>
    <row r="248" spans="1:94" x14ac:dyDescent="0.25">
      <c r="A248" s="4" t="s">
        <v>915</v>
      </c>
      <c r="B248" t="str">
        <f xml:space="preserve"> "" &amp; 706411444326</f>
        <v>706411444326</v>
      </c>
      <c r="C248" t="s">
        <v>795</v>
      </c>
      <c r="D248" t="s">
        <v>4473</v>
      </c>
      <c r="F248" t="s">
        <v>135</v>
      </c>
      <c r="G248">
        <v>1</v>
      </c>
      <c r="H248">
        <v>1</v>
      </c>
      <c r="I248" t="s">
        <v>97</v>
      </c>
      <c r="J248" s="32">
        <v>7</v>
      </c>
      <c r="K248" s="32">
        <v>21</v>
      </c>
      <c r="L248">
        <v>0</v>
      </c>
      <c r="N248">
        <v>0</v>
      </c>
      <c r="S248">
        <v>1.88</v>
      </c>
      <c r="T248">
        <v>1.1299999999999999</v>
      </c>
      <c r="U248">
        <v>1.1299999999999999</v>
      </c>
      <c r="V248">
        <v>0.37</v>
      </c>
      <c r="W248">
        <v>0.35</v>
      </c>
      <c r="X248">
        <v>1</v>
      </c>
      <c r="Y248">
        <v>5.75</v>
      </c>
      <c r="Z248">
        <v>9.1300000000000008</v>
      </c>
      <c r="AA248">
        <v>9.1300000000000008</v>
      </c>
      <c r="AB248">
        <v>0.28000000000000003</v>
      </c>
      <c r="AC248">
        <v>0.37</v>
      </c>
      <c r="AK248" t="s">
        <v>98</v>
      </c>
      <c r="AM248" t="s">
        <v>98</v>
      </c>
      <c r="AN248" t="s">
        <v>98</v>
      </c>
      <c r="AO248" t="s">
        <v>98</v>
      </c>
      <c r="AP248" t="s">
        <v>99</v>
      </c>
      <c r="AQ248" t="s">
        <v>102</v>
      </c>
      <c r="AV248" t="s">
        <v>98</v>
      </c>
      <c r="AX248" t="s">
        <v>426</v>
      </c>
      <c r="BF248" t="s">
        <v>916</v>
      </c>
      <c r="BG248" t="s">
        <v>98</v>
      </c>
      <c r="BH248" t="s">
        <v>98</v>
      </c>
      <c r="BI248" t="s">
        <v>98</v>
      </c>
      <c r="BK248" t="s">
        <v>138</v>
      </c>
      <c r="CA248" t="s">
        <v>798</v>
      </c>
      <c r="CB248" t="s">
        <v>426</v>
      </c>
      <c r="CL248" t="s">
        <v>98</v>
      </c>
      <c r="CM248" t="s">
        <v>98</v>
      </c>
      <c r="CO248" s="1">
        <v>40240</v>
      </c>
      <c r="CP248" s="1">
        <v>43595</v>
      </c>
    </row>
    <row r="249" spans="1:94" x14ac:dyDescent="0.25">
      <c r="A249" s="4" t="s">
        <v>917</v>
      </c>
      <c r="B249" t="str">
        <f xml:space="preserve"> "" &amp; 706411044540</f>
        <v>706411044540</v>
      </c>
      <c r="C249" t="s">
        <v>795</v>
      </c>
      <c r="D249" t="s">
        <v>918</v>
      </c>
      <c r="F249" t="s">
        <v>135</v>
      </c>
      <c r="G249">
        <v>1</v>
      </c>
      <c r="H249">
        <v>1</v>
      </c>
      <c r="I249" t="s">
        <v>97</v>
      </c>
      <c r="J249" s="32">
        <v>7</v>
      </c>
      <c r="K249" s="32">
        <v>21</v>
      </c>
      <c r="L249">
        <v>0</v>
      </c>
      <c r="N249">
        <v>0</v>
      </c>
      <c r="S249">
        <v>1.88</v>
      </c>
      <c r="T249">
        <v>1.1299999999999999</v>
      </c>
      <c r="U249">
        <v>1.1299999999999999</v>
      </c>
      <c r="W249">
        <v>0.35199999999999998</v>
      </c>
      <c r="X249">
        <v>1</v>
      </c>
      <c r="AB249">
        <v>1.0200000000000001E-2</v>
      </c>
      <c r="AC249">
        <v>0.38700000000000001</v>
      </c>
      <c r="AK249" t="s">
        <v>98</v>
      </c>
      <c r="AM249" t="s">
        <v>98</v>
      </c>
      <c r="AN249" t="s">
        <v>98</v>
      </c>
      <c r="AO249" t="s">
        <v>98</v>
      </c>
      <c r="AP249" t="s">
        <v>99</v>
      </c>
      <c r="AQ249" t="s">
        <v>102</v>
      </c>
      <c r="AV249" t="s">
        <v>98</v>
      </c>
      <c r="AX249" t="s">
        <v>430</v>
      </c>
      <c r="BF249" t="s">
        <v>919</v>
      </c>
      <c r="BG249" t="s">
        <v>98</v>
      </c>
      <c r="BH249" t="s">
        <v>98</v>
      </c>
      <c r="BI249" t="s">
        <v>98</v>
      </c>
      <c r="CB249" t="s">
        <v>430</v>
      </c>
      <c r="CL249" t="s">
        <v>98</v>
      </c>
      <c r="CM249" t="s">
        <v>98</v>
      </c>
      <c r="CP249" s="1">
        <v>43595</v>
      </c>
    </row>
    <row r="250" spans="1:94" x14ac:dyDescent="0.25">
      <c r="A250" s="4" t="s">
        <v>920</v>
      </c>
      <c r="B250" t="str">
        <f xml:space="preserve"> "" &amp; 706411034329</f>
        <v>706411034329</v>
      </c>
      <c r="C250" t="s">
        <v>795</v>
      </c>
      <c r="D250" t="s">
        <v>921</v>
      </c>
      <c r="F250" t="s">
        <v>135</v>
      </c>
      <c r="G250">
        <v>1</v>
      </c>
      <c r="H250">
        <v>1</v>
      </c>
      <c r="I250" t="s">
        <v>97</v>
      </c>
      <c r="J250" s="32">
        <v>7</v>
      </c>
      <c r="K250" s="32">
        <v>21</v>
      </c>
      <c r="L250">
        <v>0</v>
      </c>
      <c r="N250">
        <v>0</v>
      </c>
      <c r="S250">
        <v>1.88</v>
      </c>
      <c r="T250">
        <v>1.1299999999999999</v>
      </c>
      <c r="U250">
        <v>1.1299999999999999</v>
      </c>
      <c r="W250">
        <v>0.35</v>
      </c>
      <c r="X250">
        <v>1</v>
      </c>
      <c r="Y250">
        <v>5.75</v>
      </c>
      <c r="Z250">
        <v>9.1300000000000008</v>
      </c>
      <c r="AA250">
        <v>9.1300000000000008</v>
      </c>
      <c r="AB250">
        <v>0.28000000000000003</v>
      </c>
      <c r="AC250">
        <v>0.38700000000000001</v>
      </c>
      <c r="AK250" t="s">
        <v>98</v>
      </c>
      <c r="AM250" t="s">
        <v>98</v>
      </c>
      <c r="AN250" t="s">
        <v>98</v>
      </c>
      <c r="AO250" t="s">
        <v>98</v>
      </c>
      <c r="AP250" t="s">
        <v>99</v>
      </c>
      <c r="AQ250" t="s">
        <v>102</v>
      </c>
      <c r="AV250" t="s">
        <v>98</v>
      </c>
      <c r="AX250" t="s">
        <v>434</v>
      </c>
      <c r="BF250" t="s">
        <v>922</v>
      </c>
      <c r="BG250" t="s">
        <v>98</v>
      </c>
      <c r="BH250" t="s">
        <v>98</v>
      </c>
      <c r="BI250" t="s">
        <v>98</v>
      </c>
      <c r="BK250" t="s">
        <v>138</v>
      </c>
      <c r="CA250" t="s">
        <v>798</v>
      </c>
      <c r="CB250" t="s">
        <v>434</v>
      </c>
      <c r="CL250" t="s">
        <v>98</v>
      </c>
      <c r="CM250" t="s">
        <v>98</v>
      </c>
      <c r="CO250" s="1">
        <v>39728</v>
      </c>
      <c r="CP250" s="1">
        <v>43595</v>
      </c>
    </row>
    <row r="251" spans="1:94" x14ac:dyDescent="0.25">
      <c r="A251" s="4" t="s">
        <v>923</v>
      </c>
      <c r="B251" t="str">
        <f xml:space="preserve"> "" &amp; 706411043055</f>
        <v>706411043055</v>
      </c>
      <c r="C251" t="s">
        <v>795</v>
      </c>
      <c r="D251" t="s">
        <v>924</v>
      </c>
      <c r="F251" t="s">
        <v>135</v>
      </c>
      <c r="G251">
        <v>1</v>
      </c>
      <c r="H251">
        <v>1</v>
      </c>
      <c r="I251" t="s">
        <v>97</v>
      </c>
      <c r="J251" s="32">
        <v>7</v>
      </c>
      <c r="K251" s="32">
        <v>21</v>
      </c>
      <c r="L251">
        <v>0</v>
      </c>
      <c r="N251">
        <v>0</v>
      </c>
      <c r="S251">
        <v>1.88</v>
      </c>
      <c r="T251">
        <v>1.1299999999999999</v>
      </c>
      <c r="U251">
        <v>1.1299999999999999</v>
      </c>
      <c r="W251">
        <v>0.35</v>
      </c>
      <c r="X251">
        <v>1</v>
      </c>
      <c r="AB251">
        <v>1.0200000000000001E-2</v>
      </c>
      <c r="AC251">
        <v>0.37</v>
      </c>
      <c r="AK251" t="s">
        <v>98</v>
      </c>
      <c r="AM251" t="s">
        <v>98</v>
      </c>
      <c r="AN251" t="s">
        <v>98</v>
      </c>
      <c r="AO251" t="s">
        <v>98</v>
      </c>
      <c r="AP251" t="s">
        <v>99</v>
      </c>
      <c r="AQ251" t="s">
        <v>102</v>
      </c>
      <c r="AV251" t="s">
        <v>98</v>
      </c>
      <c r="AX251" t="s">
        <v>269</v>
      </c>
      <c r="BF251" t="s">
        <v>925</v>
      </c>
      <c r="BG251" t="s">
        <v>98</v>
      </c>
      <c r="BH251" t="s">
        <v>98</v>
      </c>
      <c r="BI251" t="s">
        <v>98</v>
      </c>
      <c r="BK251" t="s">
        <v>138</v>
      </c>
      <c r="CA251" t="s">
        <v>798</v>
      </c>
      <c r="CB251" t="s">
        <v>269</v>
      </c>
      <c r="CL251" t="s">
        <v>98</v>
      </c>
      <c r="CM251" t="s">
        <v>98</v>
      </c>
      <c r="CN251" t="s">
        <v>799</v>
      </c>
      <c r="CP251" s="1">
        <v>43595</v>
      </c>
    </row>
    <row r="252" spans="1:94" x14ac:dyDescent="0.25">
      <c r="A252" s="4" t="s">
        <v>926</v>
      </c>
      <c r="B252" t="str">
        <f xml:space="preserve"> "" &amp; 706411041853</f>
        <v>706411041853</v>
      </c>
      <c r="C252" t="s">
        <v>795</v>
      </c>
      <c r="D252" t="s">
        <v>927</v>
      </c>
      <c r="F252" t="s">
        <v>135</v>
      </c>
      <c r="G252">
        <v>1</v>
      </c>
      <c r="H252">
        <v>1</v>
      </c>
      <c r="I252" t="s">
        <v>97</v>
      </c>
      <c r="J252" s="32">
        <v>7</v>
      </c>
      <c r="K252" s="32">
        <v>21</v>
      </c>
      <c r="L252">
        <v>0</v>
      </c>
      <c r="N252">
        <v>0</v>
      </c>
      <c r="S252">
        <v>1.88</v>
      </c>
      <c r="T252">
        <v>1.1299999999999999</v>
      </c>
      <c r="U252">
        <v>1.1299999999999999</v>
      </c>
      <c r="V252">
        <v>0.37</v>
      </c>
      <c r="W252">
        <v>0.35</v>
      </c>
      <c r="X252">
        <v>1</v>
      </c>
      <c r="Y252">
        <v>5.75</v>
      </c>
      <c r="Z252">
        <v>9.1300000000000008</v>
      </c>
      <c r="AA252">
        <v>9.1300000000000008</v>
      </c>
      <c r="AB252">
        <v>0.28000000000000003</v>
      </c>
      <c r="AC252">
        <v>0.37</v>
      </c>
      <c r="AK252" t="s">
        <v>98</v>
      </c>
      <c r="AM252" t="s">
        <v>98</v>
      </c>
      <c r="AN252" t="s">
        <v>98</v>
      </c>
      <c r="AO252" t="s">
        <v>98</v>
      </c>
      <c r="AP252" t="s">
        <v>99</v>
      </c>
      <c r="AQ252" t="s">
        <v>102</v>
      </c>
      <c r="AV252" t="s">
        <v>98</v>
      </c>
      <c r="AX252" t="s">
        <v>441</v>
      </c>
      <c r="BF252" t="s">
        <v>928</v>
      </c>
      <c r="BG252" t="s">
        <v>98</v>
      </c>
      <c r="BH252" t="s">
        <v>98</v>
      </c>
      <c r="BI252" t="s">
        <v>98</v>
      </c>
      <c r="BK252" t="s">
        <v>138</v>
      </c>
      <c r="CA252" t="s">
        <v>798</v>
      </c>
      <c r="CB252" t="s">
        <v>441</v>
      </c>
      <c r="CL252" t="s">
        <v>98</v>
      </c>
      <c r="CM252" t="s">
        <v>98</v>
      </c>
      <c r="CO252" s="1">
        <v>40728</v>
      </c>
      <c r="CP252" s="1">
        <v>43595</v>
      </c>
    </row>
    <row r="253" spans="1:94" x14ac:dyDescent="0.25">
      <c r="A253" s="4" t="s">
        <v>929</v>
      </c>
      <c r="B253" t="str">
        <f xml:space="preserve"> "" &amp; 706411030062</f>
        <v>706411030062</v>
      </c>
      <c r="C253" t="s">
        <v>795</v>
      </c>
      <c r="D253" t="s">
        <v>930</v>
      </c>
      <c r="F253" t="s">
        <v>135</v>
      </c>
      <c r="G253">
        <v>1</v>
      </c>
      <c r="H253">
        <v>1</v>
      </c>
      <c r="I253" t="s">
        <v>97</v>
      </c>
      <c r="J253" s="32">
        <v>7</v>
      </c>
      <c r="K253" s="32">
        <v>21</v>
      </c>
      <c r="L253">
        <v>0</v>
      </c>
      <c r="N253">
        <v>0</v>
      </c>
      <c r="S253">
        <v>1.88</v>
      </c>
      <c r="T253">
        <v>1.1299999999999999</v>
      </c>
      <c r="U253">
        <v>1.1299999999999999</v>
      </c>
      <c r="W253">
        <v>0.35</v>
      </c>
      <c r="X253">
        <v>1</v>
      </c>
      <c r="Y253">
        <v>5.75</v>
      </c>
      <c r="Z253">
        <v>9.1300000000000008</v>
      </c>
      <c r="AA253">
        <v>9.1300000000000008</v>
      </c>
      <c r="AB253">
        <v>0.28000000000000003</v>
      </c>
      <c r="AC253">
        <v>0.37</v>
      </c>
      <c r="AK253" t="s">
        <v>98</v>
      </c>
      <c r="AM253" t="s">
        <v>98</v>
      </c>
      <c r="AN253" t="s">
        <v>98</v>
      </c>
      <c r="AO253" t="s">
        <v>98</v>
      </c>
      <c r="AP253" t="s">
        <v>99</v>
      </c>
      <c r="AQ253" t="s">
        <v>102</v>
      </c>
      <c r="AV253" t="s">
        <v>98</v>
      </c>
      <c r="AX253" t="s">
        <v>273</v>
      </c>
      <c r="BF253" t="s">
        <v>931</v>
      </c>
      <c r="BG253" t="s">
        <v>98</v>
      </c>
      <c r="BH253" t="s">
        <v>98</v>
      </c>
      <c r="BI253" t="s">
        <v>98</v>
      </c>
      <c r="BK253" t="s">
        <v>138</v>
      </c>
      <c r="CA253" t="s">
        <v>798</v>
      </c>
      <c r="CB253" t="s">
        <v>273</v>
      </c>
      <c r="CL253" t="s">
        <v>98</v>
      </c>
      <c r="CM253" t="s">
        <v>98</v>
      </c>
      <c r="CN253" t="s">
        <v>799</v>
      </c>
      <c r="CO253" s="1">
        <v>39728</v>
      </c>
      <c r="CP253" s="1">
        <v>43595</v>
      </c>
    </row>
    <row r="254" spans="1:94" x14ac:dyDescent="0.25">
      <c r="A254" s="4" t="s">
        <v>932</v>
      </c>
      <c r="B254" t="str">
        <f xml:space="preserve"> "" &amp; 706411028113</f>
        <v>706411028113</v>
      </c>
      <c r="C254" t="s">
        <v>795</v>
      </c>
      <c r="D254" t="s">
        <v>933</v>
      </c>
      <c r="F254" t="s">
        <v>135</v>
      </c>
      <c r="G254">
        <v>1</v>
      </c>
      <c r="H254">
        <v>1</v>
      </c>
      <c r="I254" t="s">
        <v>97</v>
      </c>
      <c r="J254" s="32">
        <v>7</v>
      </c>
      <c r="K254" s="32">
        <v>21</v>
      </c>
      <c r="L254">
        <v>0</v>
      </c>
      <c r="N254">
        <v>0</v>
      </c>
      <c r="S254">
        <v>1.88</v>
      </c>
      <c r="T254">
        <v>1.1299999999999999</v>
      </c>
      <c r="U254">
        <v>1.1299999999999999</v>
      </c>
      <c r="V254">
        <v>0.37</v>
      </c>
      <c r="W254">
        <v>0.35</v>
      </c>
      <c r="X254">
        <v>1</v>
      </c>
      <c r="Y254">
        <v>13</v>
      </c>
      <c r="Z254">
        <v>23</v>
      </c>
      <c r="AA254">
        <v>23</v>
      </c>
      <c r="AB254">
        <v>0.48</v>
      </c>
      <c r="AC254">
        <v>0.37</v>
      </c>
      <c r="AK254" t="s">
        <v>98</v>
      </c>
      <c r="AM254" t="s">
        <v>98</v>
      </c>
      <c r="AN254" t="s">
        <v>98</v>
      </c>
      <c r="AO254" t="s">
        <v>98</v>
      </c>
      <c r="AP254" t="s">
        <v>99</v>
      </c>
      <c r="AQ254" t="s">
        <v>102</v>
      </c>
      <c r="AV254" t="s">
        <v>98</v>
      </c>
      <c r="AX254" t="s">
        <v>277</v>
      </c>
      <c r="BF254" t="s">
        <v>934</v>
      </c>
      <c r="BG254" t="s">
        <v>98</v>
      </c>
      <c r="BH254" t="s">
        <v>98</v>
      </c>
      <c r="BI254" t="s">
        <v>98</v>
      </c>
      <c r="BK254" t="s">
        <v>138</v>
      </c>
      <c r="CA254" t="s">
        <v>798</v>
      </c>
      <c r="CB254" t="s">
        <v>277</v>
      </c>
      <c r="CL254" t="s">
        <v>98</v>
      </c>
      <c r="CM254" t="s">
        <v>98</v>
      </c>
      <c r="CN254" t="s">
        <v>799</v>
      </c>
      <c r="CO254" s="1">
        <v>38457</v>
      </c>
      <c r="CP254" s="1">
        <v>43595</v>
      </c>
    </row>
    <row r="255" spans="1:94" x14ac:dyDescent="0.25">
      <c r="A255" s="4" t="s">
        <v>935</v>
      </c>
      <c r="B255" t="str">
        <f xml:space="preserve"> "" &amp; 706411061394</f>
        <v>706411061394</v>
      </c>
      <c r="C255" t="s">
        <v>795</v>
      </c>
      <c r="D255" t="s">
        <v>936</v>
      </c>
      <c r="F255" t="s">
        <v>135</v>
      </c>
      <c r="G255">
        <v>1</v>
      </c>
      <c r="H255">
        <v>1</v>
      </c>
      <c r="I255" t="s">
        <v>97</v>
      </c>
      <c r="J255" s="32">
        <v>7</v>
      </c>
      <c r="K255" s="32">
        <v>21</v>
      </c>
      <c r="L255">
        <v>0</v>
      </c>
      <c r="N255">
        <v>0</v>
      </c>
      <c r="S255">
        <v>1.88</v>
      </c>
      <c r="T255">
        <v>1.1299999999999999</v>
      </c>
      <c r="U255">
        <v>1.1299999999999999</v>
      </c>
      <c r="W255">
        <v>0.35</v>
      </c>
      <c r="X255">
        <v>1</v>
      </c>
      <c r="AB255">
        <v>1.0200000000000001E-2</v>
      </c>
      <c r="AC255">
        <v>0.37</v>
      </c>
      <c r="AK255" t="s">
        <v>98</v>
      </c>
      <c r="AM255" t="s">
        <v>98</v>
      </c>
      <c r="AN255" t="s">
        <v>98</v>
      </c>
      <c r="AO255" t="s">
        <v>98</v>
      </c>
      <c r="AP255" t="s">
        <v>99</v>
      </c>
      <c r="AQ255" t="s">
        <v>102</v>
      </c>
      <c r="AV255" t="s">
        <v>98</v>
      </c>
      <c r="AX255" t="s">
        <v>281</v>
      </c>
      <c r="BF255" t="s">
        <v>937</v>
      </c>
      <c r="BG255" t="s">
        <v>98</v>
      </c>
      <c r="BH255" t="s">
        <v>98</v>
      </c>
      <c r="BI255" t="s">
        <v>98</v>
      </c>
      <c r="BK255" t="s">
        <v>138</v>
      </c>
      <c r="CB255" t="s">
        <v>281</v>
      </c>
      <c r="CL255" t="s">
        <v>98</v>
      </c>
      <c r="CM255" t="s">
        <v>98</v>
      </c>
      <c r="CN255" t="s">
        <v>799</v>
      </c>
      <c r="CO255" s="1">
        <v>43388</v>
      </c>
      <c r="CP255" s="1">
        <v>43595</v>
      </c>
    </row>
    <row r="256" spans="1:94" x14ac:dyDescent="0.25">
      <c r="A256" s="4" t="s">
        <v>938</v>
      </c>
      <c r="B256" t="str">
        <f xml:space="preserve"> "" &amp; 706411057175</f>
        <v>706411057175</v>
      </c>
      <c r="C256" t="s">
        <v>795</v>
      </c>
      <c r="D256" t="s">
        <v>939</v>
      </c>
      <c r="F256" t="s">
        <v>135</v>
      </c>
      <c r="G256">
        <v>1</v>
      </c>
      <c r="H256">
        <v>1</v>
      </c>
      <c r="I256" t="s">
        <v>97</v>
      </c>
      <c r="J256" s="32">
        <v>7</v>
      </c>
      <c r="K256" s="32">
        <v>21</v>
      </c>
      <c r="L256">
        <v>0</v>
      </c>
      <c r="N256">
        <v>0</v>
      </c>
      <c r="S256">
        <v>1.88</v>
      </c>
      <c r="T256">
        <v>1.1299999999999999</v>
      </c>
      <c r="U256">
        <v>1.1299999999999999</v>
      </c>
      <c r="W256">
        <v>0.35</v>
      </c>
      <c r="X256">
        <v>1</v>
      </c>
      <c r="AB256">
        <v>1.0200000000000001E-2</v>
      </c>
      <c r="AC256">
        <v>0.37</v>
      </c>
      <c r="AK256" t="s">
        <v>98</v>
      </c>
      <c r="AM256" t="s">
        <v>98</v>
      </c>
      <c r="AN256" t="s">
        <v>98</v>
      </c>
      <c r="AO256" t="s">
        <v>98</v>
      </c>
      <c r="AP256" t="s">
        <v>99</v>
      </c>
      <c r="AQ256" t="s">
        <v>102</v>
      </c>
      <c r="AV256" t="s">
        <v>98</v>
      </c>
      <c r="AX256" t="s">
        <v>940</v>
      </c>
      <c r="BF256" t="s">
        <v>941</v>
      </c>
      <c r="BG256" t="s">
        <v>98</v>
      </c>
      <c r="BH256" t="s">
        <v>98</v>
      </c>
      <c r="BI256" t="s">
        <v>98</v>
      </c>
      <c r="BK256" t="s">
        <v>138</v>
      </c>
      <c r="CA256" t="s">
        <v>798</v>
      </c>
      <c r="CB256" t="s">
        <v>940</v>
      </c>
      <c r="CL256" t="s">
        <v>98</v>
      </c>
      <c r="CM256" t="s">
        <v>98</v>
      </c>
      <c r="CN256" t="s">
        <v>799</v>
      </c>
      <c r="CO256" s="1">
        <v>43586</v>
      </c>
      <c r="CP256" s="1">
        <v>43586</v>
      </c>
    </row>
    <row r="257" spans="1:94" x14ac:dyDescent="0.25">
      <c r="A257" s="4" t="s">
        <v>942</v>
      </c>
      <c r="B257" t="str">
        <f xml:space="preserve"> "" &amp; 706411028007</f>
        <v>706411028007</v>
      </c>
      <c r="C257" t="s">
        <v>795</v>
      </c>
      <c r="D257" t="s">
        <v>4474</v>
      </c>
      <c r="F257" t="s">
        <v>135</v>
      </c>
      <c r="G257">
        <v>1</v>
      </c>
      <c r="H257">
        <v>1</v>
      </c>
      <c r="I257" t="s">
        <v>97</v>
      </c>
      <c r="J257" s="32">
        <v>7</v>
      </c>
      <c r="K257" s="32">
        <v>21</v>
      </c>
      <c r="L257">
        <v>0</v>
      </c>
      <c r="N257">
        <v>0</v>
      </c>
      <c r="S257">
        <v>1.88</v>
      </c>
      <c r="T257">
        <v>1.1299999999999999</v>
      </c>
      <c r="U257">
        <v>1.1299999999999999</v>
      </c>
      <c r="V257">
        <v>0.37</v>
      </c>
      <c r="W257">
        <v>0.35</v>
      </c>
      <c r="X257">
        <v>1</v>
      </c>
      <c r="Y257">
        <v>13</v>
      </c>
      <c r="Z257">
        <v>23</v>
      </c>
      <c r="AA257">
        <v>23</v>
      </c>
      <c r="AB257">
        <v>0.48</v>
      </c>
      <c r="AC257">
        <v>0.37</v>
      </c>
      <c r="AK257" t="s">
        <v>98</v>
      </c>
      <c r="AM257" t="s">
        <v>98</v>
      </c>
      <c r="AN257" t="s">
        <v>98</v>
      </c>
      <c r="AO257" t="s">
        <v>98</v>
      </c>
      <c r="AP257" t="s">
        <v>99</v>
      </c>
      <c r="AQ257" t="s">
        <v>102</v>
      </c>
      <c r="AV257" t="s">
        <v>98</v>
      </c>
      <c r="AX257" t="s">
        <v>284</v>
      </c>
      <c r="BF257" t="s">
        <v>943</v>
      </c>
      <c r="BG257" t="s">
        <v>98</v>
      </c>
      <c r="BH257" t="s">
        <v>98</v>
      </c>
      <c r="BI257" t="s">
        <v>98</v>
      </c>
      <c r="BK257" t="s">
        <v>138</v>
      </c>
      <c r="CA257" t="s">
        <v>798</v>
      </c>
      <c r="CB257" t="s">
        <v>284</v>
      </c>
      <c r="CL257" t="s">
        <v>98</v>
      </c>
      <c r="CM257" t="s">
        <v>98</v>
      </c>
      <c r="CN257" t="s">
        <v>799</v>
      </c>
      <c r="CO257" s="1">
        <v>38457</v>
      </c>
      <c r="CP257" s="1">
        <v>43595</v>
      </c>
    </row>
    <row r="258" spans="1:94" x14ac:dyDescent="0.25">
      <c r="A258" s="4" t="s">
        <v>944</v>
      </c>
      <c r="B258" t="str">
        <f xml:space="preserve"> "" &amp; 706411062377</f>
        <v>706411062377</v>
      </c>
      <c r="C258" t="s">
        <v>795</v>
      </c>
      <c r="D258" t="s">
        <v>945</v>
      </c>
      <c r="F258" t="s">
        <v>135</v>
      </c>
      <c r="G258">
        <v>1</v>
      </c>
      <c r="H258">
        <v>1</v>
      </c>
      <c r="I258" t="s">
        <v>97</v>
      </c>
      <c r="J258" s="32">
        <v>7</v>
      </c>
      <c r="K258" s="32">
        <v>21</v>
      </c>
      <c r="L258">
        <v>0</v>
      </c>
      <c r="N258">
        <v>0</v>
      </c>
      <c r="S258">
        <v>1.88</v>
      </c>
      <c r="T258">
        <v>1.1299999999999999</v>
      </c>
      <c r="U258">
        <v>1.1299999999999999</v>
      </c>
      <c r="W258">
        <v>0.35</v>
      </c>
      <c r="X258">
        <v>1</v>
      </c>
      <c r="AB258">
        <v>1.0200000000000001E-2</v>
      </c>
      <c r="AC258">
        <v>0.37</v>
      </c>
      <c r="AK258" t="s">
        <v>98</v>
      </c>
      <c r="AM258" t="s">
        <v>98</v>
      </c>
      <c r="AN258" t="s">
        <v>98</v>
      </c>
      <c r="AO258" t="s">
        <v>98</v>
      </c>
      <c r="AP258" t="s">
        <v>99</v>
      </c>
      <c r="AQ258" t="s">
        <v>102</v>
      </c>
      <c r="AV258" t="s">
        <v>98</v>
      </c>
      <c r="AX258" t="s">
        <v>289</v>
      </c>
      <c r="BF258" t="s">
        <v>946</v>
      </c>
      <c r="BG258" t="s">
        <v>98</v>
      </c>
      <c r="BH258" t="s">
        <v>98</v>
      </c>
      <c r="BI258" t="s">
        <v>98</v>
      </c>
      <c r="BJ258" t="s">
        <v>291</v>
      </c>
      <c r="BK258" t="s">
        <v>292</v>
      </c>
      <c r="CA258" t="s">
        <v>798</v>
      </c>
      <c r="CB258" t="s">
        <v>289</v>
      </c>
      <c r="CL258" t="s">
        <v>98</v>
      </c>
      <c r="CM258" t="s">
        <v>98</v>
      </c>
      <c r="CN258" t="s">
        <v>799</v>
      </c>
      <c r="CO258" s="1">
        <v>43571</v>
      </c>
      <c r="CP258" s="1">
        <v>43588</v>
      </c>
    </row>
    <row r="259" spans="1:94" x14ac:dyDescent="0.25">
      <c r="A259" s="4" t="s">
        <v>947</v>
      </c>
      <c r="B259" t="str">
        <f xml:space="preserve"> "" &amp; 706411028014</f>
        <v>706411028014</v>
      </c>
      <c r="C259" t="s">
        <v>795</v>
      </c>
      <c r="D259" t="s">
        <v>4476</v>
      </c>
      <c r="F259" t="s">
        <v>135</v>
      </c>
      <c r="G259">
        <v>1</v>
      </c>
      <c r="H259">
        <v>1</v>
      </c>
      <c r="I259" t="s">
        <v>97</v>
      </c>
      <c r="J259" s="32">
        <v>7</v>
      </c>
      <c r="K259" s="32">
        <v>21</v>
      </c>
      <c r="L259">
        <v>0</v>
      </c>
      <c r="N259">
        <v>0</v>
      </c>
      <c r="S259">
        <v>1.88</v>
      </c>
      <c r="T259">
        <v>1.1299999999999999</v>
      </c>
      <c r="U259">
        <v>1.1299999999999999</v>
      </c>
      <c r="W259">
        <v>0.35</v>
      </c>
      <c r="X259">
        <v>1</v>
      </c>
      <c r="AB259">
        <v>1.0200000000000001E-2</v>
      </c>
      <c r="AC259">
        <v>0.37</v>
      </c>
      <c r="AK259" t="s">
        <v>98</v>
      </c>
      <c r="AM259" t="s">
        <v>98</v>
      </c>
      <c r="AN259" t="s">
        <v>98</v>
      </c>
      <c r="AO259" t="s">
        <v>98</v>
      </c>
      <c r="AP259" t="s">
        <v>99</v>
      </c>
      <c r="AQ259" t="s">
        <v>102</v>
      </c>
      <c r="AV259" t="s">
        <v>98</v>
      </c>
      <c r="AX259" t="s">
        <v>458</v>
      </c>
      <c r="BF259" t="s">
        <v>948</v>
      </c>
      <c r="BG259" t="s">
        <v>98</v>
      </c>
      <c r="BH259" t="s">
        <v>98</v>
      </c>
      <c r="BI259" t="s">
        <v>98</v>
      </c>
      <c r="BK259" t="s">
        <v>138</v>
      </c>
      <c r="CA259" t="s">
        <v>798</v>
      </c>
      <c r="CB259" t="s">
        <v>458</v>
      </c>
      <c r="CL259" t="s">
        <v>98</v>
      </c>
      <c r="CM259" t="s">
        <v>98</v>
      </c>
      <c r="CN259" t="s">
        <v>799</v>
      </c>
      <c r="CP259" s="1">
        <v>43595</v>
      </c>
    </row>
    <row r="260" spans="1:94" x14ac:dyDescent="0.25">
      <c r="A260" s="4" t="s">
        <v>949</v>
      </c>
      <c r="B260" t="str">
        <f xml:space="preserve"> "" &amp; 706411043574</f>
        <v>706411043574</v>
      </c>
      <c r="C260" t="s">
        <v>795</v>
      </c>
      <c r="D260" t="s">
        <v>950</v>
      </c>
      <c r="F260" t="s">
        <v>135</v>
      </c>
      <c r="G260">
        <v>1</v>
      </c>
      <c r="H260">
        <v>1</v>
      </c>
      <c r="I260" t="s">
        <v>97</v>
      </c>
      <c r="J260" s="32">
        <v>7</v>
      </c>
      <c r="K260" s="32">
        <v>21</v>
      </c>
      <c r="L260">
        <v>0</v>
      </c>
      <c r="N260">
        <v>0</v>
      </c>
      <c r="S260">
        <v>1.88</v>
      </c>
      <c r="T260">
        <v>1.1299999999999999</v>
      </c>
      <c r="U260">
        <v>1.1299999999999999</v>
      </c>
      <c r="W260">
        <v>0.35199999999999998</v>
      </c>
      <c r="X260">
        <v>1</v>
      </c>
      <c r="AB260">
        <v>1.0200000000000001E-2</v>
      </c>
      <c r="AC260">
        <v>0.38700000000000001</v>
      </c>
      <c r="AK260" t="s">
        <v>98</v>
      </c>
      <c r="AM260" t="s">
        <v>98</v>
      </c>
      <c r="AN260" t="s">
        <v>98</v>
      </c>
      <c r="AO260" t="s">
        <v>98</v>
      </c>
      <c r="AP260" t="s">
        <v>99</v>
      </c>
      <c r="AQ260" t="s">
        <v>102</v>
      </c>
      <c r="AV260" t="s">
        <v>98</v>
      </c>
      <c r="AX260" t="s">
        <v>295</v>
      </c>
      <c r="BF260" t="s">
        <v>951</v>
      </c>
      <c r="BG260" t="s">
        <v>98</v>
      </c>
      <c r="BH260" t="s">
        <v>98</v>
      </c>
      <c r="BI260" t="s">
        <v>98</v>
      </c>
      <c r="CB260" t="s">
        <v>295</v>
      </c>
      <c r="CL260" t="s">
        <v>98</v>
      </c>
      <c r="CM260" t="s">
        <v>98</v>
      </c>
      <c r="CP260" s="1">
        <v>43595</v>
      </c>
    </row>
    <row r="261" spans="1:94" x14ac:dyDescent="0.25">
      <c r="A261" s="4" t="s">
        <v>952</v>
      </c>
      <c r="B261" t="str">
        <f xml:space="preserve"> "" &amp; 706411028021</f>
        <v>706411028021</v>
      </c>
      <c r="C261" t="s">
        <v>795</v>
      </c>
      <c r="D261" t="s">
        <v>4475</v>
      </c>
      <c r="F261" t="s">
        <v>135</v>
      </c>
      <c r="G261">
        <v>1</v>
      </c>
      <c r="H261">
        <v>1</v>
      </c>
      <c r="I261" t="s">
        <v>97</v>
      </c>
      <c r="J261" s="32">
        <v>7</v>
      </c>
      <c r="K261" s="32">
        <v>21</v>
      </c>
      <c r="L261">
        <v>0</v>
      </c>
      <c r="N261">
        <v>0</v>
      </c>
      <c r="S261">
        <v>1.88</v>
      </c>
      <c r="T261">
        <v>1.1299999999999999</v>
      </c>
      <c r="U261">
        <v>1.1299999999999999</v>
      </c>
      <c r="V261">
        <v>0.37</v>
      </c>
      <c r="W261">
        <v>0.35</v>
      </c>
      <c r="X261">
        <v>1</v>
      </c>
      <c r="Y261">
        <v>13</v>
      </c>
      <c r="Z261">
        <v>23</v>
      </c>
      <c r="AA261">
        <v>23</v>
      </c>
      <c r="AB261">
        <v>0.48</v>
      </c>
      <c r="AC261">
        <v>0.37</v>
      </c>
      <c r="AK261" t="s">
        <v>98</v>
      </c>
      <c r="AM261" t="s">
        <v>98</v>
      </c>
      <c r="AN261" t="s">
        <v>98</v>
      </c>
      <c r="AO261" t="s">
        <v>98</v>
      </c>
      <c r="AP261" t="s">
        <v>99</v>
      </c>
      <c r="AQ261" t="s">
        <v>102</v>
      </c>
      <c r="AV261" t="s">
        <v>98</v>
      </c>
      <c r="AX261" t="s">
        <v>298</v>
      </c>
      <c r="BF261" t="s">
        <v>953</v>
      </c>
      <c r="BG261" t="s">
        <v>98</v>
      </c>
      <c r="BH261" t="s">
        <v>98</v>
      </c>
      <c r="BI261" t="s">
        <v>98</v>
      </c>
      <c r="BK261" t="s">
        <v>138</v>
      </c>
      <c r="CA261" t="s">
        <v>798</v>
      </c>
      <c r="CB261" t="s">
        <v>298</v>
      </c>
      <c r="CL261" t="s">
        <v>98</v>
      </c>
      <c r="CM261" t="s">
        <v>98</v>
      </c>
      <c r="CN261" t="s">
        <v>799</v>
      </c>
      <c r="CO261" s="1">
        <v>38457</v>
      </c>
      <c r="CP261" s="1">
        <v>43595</v>
      </c>
    </row>
    <row r="262" spans="1:94" x14ac:dyDescent="0.25">
      <c r="A262" s="4" t="s">
        <v>954</v>
      </c>
      <c r="B262" t="str">
        <f xml:space="preserve"> "" &amp; 706411055218</f>
        <v>706411055218</v>
      </c>
      <c r="C262" t="s">
        <v>795</v>
      </c>
      <c r="D262" t="s">
        <v>955</v>
      </c>
      <c r="F262" t="s">
        <v>135</v>
      </c>
      <c r="G262">
        <v>1</v>
      </c>
      <c r="H262">
        <v>1</v>
      </c>
      <c r="I262" t="s">
        <v>97</v>
      </c>
      <c r="J262" s="32">
        <v>7</v>
      </c>
      <c r="K262" s="32">
        <v>21</v>
      </c>
      <c r="L262">
        <v>0</v>
      </c>
      <c r="N262">
        <v>0</v>
      </c>
      <c r="S262">
        <v>1.88</v>
      </c>
      <c r="T262">
        <v>1.1299999999999999</v>
      </c>
      <c r="U262">
        <v>1.1299999999999999</v>
      </c>
      <c r="W262">
        <v>0.35</v>
      </c>
      <c r="X262">
        <v>1</v>
      </c>
      <c r="AB262">
        <v>1.24E-2</v>
      </c>
      <c r="AC262">
        <v>0.37</v>
      </c>
      <c r="AK262" t="s">
        <v>98</v>
      </c>
      <c r="AM262" t="s">
        <v>98</v>
      </c>
      <c r="AN262" t="s">
        <v>98</v>
      </c>
      <c r="AO262" t="s">
        <v>98</v>
      </c>
      <c r="AP262" t="s">
        <v>99</v>
      </c>
      <c r="AQ262" t="s">
        <v>102</v>
      </c>
      <c r="AV262" t="s">
        <v>98</v>
      </c>
      <c r="AX262" t="s">
        <v>956</v>
      </c>
      <c r="BF262" t="s">
        <v>957</v>
      </c>
      <c r="BG262" t="s">
        <v>98</v>
      </c>
      <c r="BH262" t="s">
        <v>98</v>
      </c>
      <c r="BI262" t="s">
        <v>98</v>
      </c>
      <c r="BJ262" t="s">
        <v>291</v>
      </c>
      <c r="BK262" t="s">
        <v>292</v>
      </c>
      <c r="CA262" t="s">
        <v>798</v>
      </c>
      <c r="CB262" t="s">
        <v>956</v>
      </c>
      <c r="CL262" t="s">
        <v>98</v>
      </c>
      <c r="CM262" t="s">
        <v>98</v>
      </c>
      <c r="CN262" t="s">
        <v>799</v>
      </c>
      <c r="CO262" s="1">
        <v>42599</v>
      </c>
      <c r="CP262" s="1">
        <v>43595</v>
      </c>
    </row>
    <row r="263" spans="1:94" x14ac:dyDescent="0.25">
      <c r="A263" s="4" t="s">
        <v>958</v>
      </c>
      <c r="B263" t="str">
        <f xml:space="preserve"> "" &amp; 706411028144</f>
        <v>706411028144</v>
      </c>
      <c r="C263" t="s">
        <v>795</v>
      </c>
      <c r="D263" t="s">
        <v>959</v>
      </c>
      <c r="F263" t="s">
        <v>135</v>
      </c>
      <c r="G263">
        <v>1</v>
      </c>
      <c r="H263">
        <v>1</v>
      </c>
      <c r="I263" t="s">
        <v>97</v>
      </c>
      <c r="J263" s="32">
        <v>7</v>
      </c>
      <c r="K263" s="32">
        <v>21</v>
      </c>
      <c r="L263">
        <v>0</v>
      </c>
      <c r="N263">
        <v>0</v>
      </c>
      <c r="S263">
        <v>1.88</v>
      </c>
      <c r="T263">
        <v>1.1299999999999999</v>
      </c>
      <c r="U263">
        <v>1.1299999999999999</v>
      </c>
      <c r="W263">
        <v>0.35</v>
      </c>
      <c r="X263">
        <v>1</v>
      </c>
      <c r="Y263">
        <v>5.75</v>
      </c>
      <c r="Z263">
        <v>9.1300000000000008</v>
      </c>
      <c r="AA263">
        <v>9.1300000000000008</v>
      </c>
      <c r="AB263">
        <v>0.28000000000000003</v>
      </c>
      <c r="AC263">
        <v>0.37</v>
      </c>
      <c r="AK263" t="s">
        <v>98</v>
      </c>
      <c r="AM263" t="s">
        <v>98</v>
      </c>
      <c r="AN263" t="s">
        <v>98</v>
      </c>
      <c r="AO263" t="s">
        <v>98</v>
      </c>
      <c r="AP263" t="s">
        <v>99</v>
      </c>
      <c r="AQ263" t="s">
        <v>102</v>
      </c>
      <c r="AV263" t="s">
        <v>98</v>
      </c>
      <c r="AX263" t="s">
        <v>306</v>
      </c>
      <c r="BF263" t="s">
        <v>960</v>
      </c>
      <c r="BG263" t="s">
        <v>98</v>
      </c>
      <c r="BH263" t="s">
        <v>98</v>
      </c>
      <c r="BI263" t="s">
        <v>98</v>
      </c>
      <c r="BK263" t="s">
        <v>138</v>
      </c>
      <c r="CA263" t="s">
        <v>798</v>
      </c>
      <c r="CB263" t="s">
        <v>306</v>
      </c>
      <c r="CL263" t="s">
        <v>98</v>
      </c>
      <c r="CM263" t="s">
        <v>98</v>
      </c>
      <c r="CN263" t="s">
        <v>799</v>
      </c>
      <c r="CO263" s="1">
        <v>39728</v>
      </c>
      <c r="CP263" s="1">
        <v>43595</v>
      </c>
    </row>
    <row r="264" spans="1:94" x14ac:dyDescent="0.25">
      <c r="A264" s="4" t="s">
        <v>961</v>
      </c>
      <c r="B264" t="str">
        <f xml:space="preserve"> "" &amp; 706411044700</f>
        <v>706411044700</v>
      </c>
      <c r="C264" t="s">
        <v>786</v>
      </c>
      <c r="D264" t="s">
        <v>962</v>
      </c>
      <c r="F264" t="s">
        <v>135</v>
      </c>
      <c r="G264">
        <v>1</v>
      </c>
      <c r="H264">
        <v>1</v>
      </c>
      <c r="I264" t="s">
        <v>97</v>
      </c>
      <c r="J264" s="32">
        <v>3.5</v>
      </c>
      <c r="K264" s="32">
        <v>10.5</v>
      </c>
      <c r="L264">
        <v>0</v>
      </c>
      <c r="N264">
        <v>0</v>
      </c>
      <c r="S264">
        <v>3.5</v>
      </c>
      <c r="T264">
        <v>1.07</v>
      </c>
      <c r="U264">
        <v>1.07</v>
      </c>
      <c r="W264">
        <v>1.94</v>
      </c>
      <c r="X264">
        <v>1</v>
      </c>
      <c r="AB264">
        <v>3.5000000000000001E-3</v>
      </c>
      <c r="AC264">
        <v>2.09</v>
      </c>
      <c r="AK264" t="s">
        <v>98</v>
      </c>
      <c r="AM264" t="s">
        <v>98</v>
      </c>
      <c r="AN264" t="s">
        <v>98</v>
      </c>
      <c r="AO264" t="s">
        <v>98</v>
      </c>
      <c r="AP264" t="s">
        <v>99</v>
      </c>
      <c r="AQ264" t="s">
        <v>102</v>
      </c>
      <c r="AV264" t="s">
        <v>98</v>
      </c>
      <c r="AX264" t="s">
        <v>302</v>
      </c>
      <c r="BF264" t="s">
        <v>963</v>
      </c>
      <c r="BG264" t="s">
        <v>98</v>
      </c>
      <c r="BH264" t="s">
        <v>98</v>
      </c>
      <c r="BI264" t="s">
        <v>98</v>
      </c>
      <c r="BK264" t="s">
        <v>138</v>
      </c>
      <c r="CA264" t="s">
        <v>964</v>
      </c>
      <c r="CB264" t="s">
        <v>302</v>
      </c>
      <c r="CL264" t="s">
        <v>98</v>
      </c>
      <c r="CM264" t="s">
        <v>98</v>
      </c>
      <c r="CN264" t="s">
        <v>349</v>
      </c>
      <c r="CO264" s="1">
        <v>42946</v>
      </c>
      <c r="CP264" s="1">
        <v>43595</v>
      </c>
    </row>
    <row r="265" spans="1:94" x14ac:dyDescent="0.25">
      <c r="A265" s="4" t="s">
        <v>965</v>
      </c>
      <c r="B265" t="str">
        <f xml:space="preserve"> "" &amp; 706411057724</f>
        <v>706411057724</v>
      </c>
      <c r="C265" t="s">
        <v>786</v>
      </c>
      <c r="D265" t="s">
        <v>966</v>
      </c>
      <c r="F265" t="s">
        <v>135</v>
      </c>
      <c r="G265">
        <v>1</v>
      </c>
      <c r="H265">
        <v>1</v>
      </c>
      <c r="I265" t="s">
        <v>97</v>
      </c>
      <c r="J265" s="32">
        <v>3.5</v>
      </c>
      <c r="K265" s="32">
        <v>10.5</v>
      </c>
      <c r="L265">
        <v>0</v>
      </c>
      <c r="N265">
        <v>0</v>
      </c>
      <c r="S265">
        <v>3.5</v>
      </c>
      <c r="T265">
        <v>1.07</v>
      </c>
      <c r="U265">
        <v>1.07</v>
      </c>
      <c r="W265">
        <v>0.97</v>
      </c>
      <c r="X265">
        <v>1</v>
      </c>
      <c r="AB265">
        <v>3.7000000000000002E-3</v>
      </c>
      <c r="AC265">
        <v>1.08</v>
      </c>
      <c r="AK265" t="s">
        <v>98</v>
      </c>
      <c r="AM265" t="s">
        <v>98</v>
      </c>
      <c r="AN265" t="s">
        <v>98</v>
      </c>
      <c r="AO265" t="s">
        <v>98</v>
      </c>
      <c r="AP265" t="s">
        <v>99</v>
      </c>
      <c r="AQ265" t="s">
        <v>102</v>
      </c>
      <c r="AV265" t="s">
        <v>98</v>
      </c>
      <c r="AX265" t="s">
        <v>311</v>
      </c>
      <c r="BF265" t="s">
        <v>967</v>
      </c>
      <c r="BG265" t="s">
        <v>98</v>
      </c>
      <c r="BH265" t="s">
        <v>98</v>
      </c>
      <c r="BI265" t="s">
        <v>98</v>
      </c>
      <c r="BJ265" t="s">
        <v>291</v>
      </c>
      <c r="BK265" t="s">
        <v>292</v>
      </c>
      <c r="CA265" t="s">
        <v>964</v>
      </c>
      <c r="CB265" t="s">
        <v>311</v>
      </c>
      <c r="CL265" t="s">
        <v>98</v>
      </c>
      <c r="CM265" t="s">
        <v>98</v>
      </c>
      <c r="CN265" t="s">
        <v>700</v>
      </c>
      <c r="CO265" s="1">
        <v>43399</v>
      </c>
      <c r="CP265" s="1">
        <v>43595</v>
      </c>
    </row>
    <row r="266" spans="1:94" x14ac:dyDescent="0.25">
      <c r="A266" s="4" t="s">
        <v>968</v>
      </c>
      <c r="B266" t="str">
        <f xml:space="preserve"> "" &amp; 706411058158</f>
        <v>706411058158</v>
      </c>
      <c r="C266" t="s">
        <v>786</v>
      </c>
      <c r="D266" t="s">
        <v>969</v>
      </c>
      <c r="F266" t="s">
        <v>135</v>
      </c>
      <c r="G266">
        <v>1</v>
      </c>
      <c r="H266">
        <v>1</v>
      </c>
      <c r="I266" t="s">
        <v>97</v>
      </c>
      <c r="J266" s="32">
        <v>3.5</v>
      </c>
      <c r="K266" s="32">
        <v>10.5</v>
      </c>
      <c r="L266">
        <v>0</v>
      </c>
      <c r="N266">
        <v>0</v>
      </c>
      <c r="S266">
        <v>3.5</v>
      </c>
      <c r="T266">
        <v>1.07</v>
      </c>
      <c r="U266">
        <v>1.07</v>
      </c>
      <c r="W266">
        <v>1.94</v>
      </c>
      <c r="X266">
        <v>1</v>
      </c>
      <c r="AB266">
        <v>3.7000000000000002E-3</v>
      </c>
      <c r="AC266">
        <v>2.09</v>
      </c>
      <c r="AK266" t="s">
        <v>98</v>
      </c>
      <c r="AM266" t="s">
        <v>98</v>
      </c>
      <c r="AN266" t="s">
        <v>98</v>
      </c>
      <c r="AO266" t="s">
        <v>98</v>
      </c>
      <c r="AP266" t="s">
        <v>99</v>
      </c>
      <c r="AQ266" t="s">
        <v>102</v>
      </c>
      <c r="AV266" t="s">
        <v>98</v>
      </c>
      <c r="AX266" t="s">
        <v>317</v>
      </c>
      <c r="BF266" t="s">
        <v>970</v>
      </c>
      <c r="BG266" t="s">
        <v>98</v>
      </c>
      <c r="BH266" t="s">
        <v>98</v>
      </c>
      <c r="BI266" t="s">
        <v>98</v>
      </c>
      <c r="BK266" t="s">
        <v>138</v>
      </c>
      <c r="CA266" t="s">
        <v>964</v>
      </c>
      <c r="CB266" t="s">
        <v>317</v>
      </c>
      <c r="CL266" t="s">
        <v>98</v>
      </c>
      <c r="CM266" t="s">
        <v>98</v>
      </c>
      <c r="CN266" t="s">
        <v>349</v>
      </c>
      <c r="CO266" s="1">
        <v>42960</v>
      </c>
      <c r="CP266" s="1">
        <v>43595</v>
      </c>
    </row>
    <row r="267" spans="1:94" x14ac:dyDescent="0.25">
      <c r="A267" s="4" t="s">
        <v>971</v>
      </c>
      <c r="B267" t="str">
        <f xml:space="preserve"> "" &amp; 706411058165</f>
        <v>706411058165</v>
      </c>
      <c r="C267" t="s">
        <v>786</v>
      </c>
      <c r="D267" t="s">
        <v>972</v>
      </c>
      <c r="F267" t="s">
        <v>135</v>
      </c>
      <c r="G267">
        <v>1</v>
      </c>
      <c r="H267">
        <v>1</v>
      </c>
      <c r="I267" t="s">
        <v>97</v>
      </c>
      <c r="J267" s="32">
        <v>3.5</v>
      </c>
      <c r="K267" s="32">
        <v>10.5</v>
      </c>
      <c r="L267">
        <v>0</v>
      </c>
      <c r="N267">
        <v>0</v>
      </c>
      <c r="S267">
        <v>3.5</v>
      </c>
      <c r="T267">
        <v>1.07</v>
      </c>
      <c r="U267">
        <v>1.07</v>
      </c>
      <c r="W267">
        <v>1.94</v>
      </c>
      <c r="X267">
        <v>1</v>
      </c>
      <c r="AB267">
        <v>3.7000000000000002E-3</v>
      </c>
      <c r="AC267">
        <v>2.09</v>
      </c>
      <c r="AK267" t="s">
        <v>98</v>
      </c>
      <c r="AM267" t="s">
        <v>98</v>
      </c>
      <c r="AN267" t="s">
        <v>98</v>
      </c>
      <c r="AO267" t="s">
        <v>98</v>
      </c>
      <c r="AP267" t="s">
        <v>99</v>
      </c>
      <c r="AQ267" t="s">
        <v>102</v>
      </c>
      <c r="AV267" t="s">
        <v>98</v>
      </c>
      <c r="AX267" t="s">
        <v>142</v>
      </c>
      <c r="BF267" t="s">
        <v>973</v>
      </c>
      <c r="BG267" t="s">
        <v>98</v>
      </c>
      <c r="BH267" t="s">
        <v>98</v>
      </c>
      <c r="BI267" t="s">
        <v>98</v>
      </c>
      <c r="BK267" t="s">
        <v>138</v>
      </c>
      <c r="CA267" t="s">
        <v>964</v>
      </c>
      <c r="CB267" t="s">
        <v>142</v>
      </c>
      <c r="CL267" t="s">
        <v>98</v>
      </c>
      <c r="CM267" t="s">
        <v>98</v>
      </c>
      <c r="CN267" t="s">
        <v>349</v>
      </c>
      <c r="CO267" s="1">
        <v>42974</v>
      </c>
      <c r="CP267" s="1">
        <v>43595</v>
      </c>
    </row>
    <row r="268" spans="1:94" x14ac:dyDescent="0.25">
      <c r="A268" s="4" t="s">
        <v>974</v>
      </c>
      <c r="B268" t="str">
        <f xml:space="preserve"> "" &amp; 718212801611</f>
        <v>718212801611</v>
      </c>
      <c r="C268" t="s">
        <v>786</v>
      </c>
      <c r="D268" t="s">
        <v>975</v>
      </c>
      <c r="F268" t="s">
        <v>135</v>
      </c>
      <c r="G268">
        <v>1</v>
      </c>
      <c r="H268">
        <v>1</v>
      </c>
      <c r="I268" t="s">
        <v>97</v>
      </c>
      <c r="J268" s="32">
        <v>3.5</v>
      </c>
      <c r="K268" s="32">
        <v>10.5</v>
      </c>
      <c r="L268">
        <v>0</v>
      </c>
      <c r="N268">
        <v>0</v>
      </c>
      <c r="S268">
        <v>3.5</v>
      </c>
      <c r="T268">
        <v>1.07</v>
      </c>
      <c r="U268">
        <v>1.07</v>
      </c>
      <c r="W268">
        <v>1.94</v>
      </c>
      <c r="X268">
        <v>1</v>
      </c>
      <c r="AB268">
        <v>3.7000000000000002E-3</v>
      </c>
      <c r="AC268">
        <v>2.09</v>
      </c>
      <c r="AK268" t="s">
        <v>98</v>
      </c>
      <c r="AM268" t="s">
        <v>98</v>
      </c>
      <c r="AN268" t="s">
        <v>98</v>
      </c>
      <c r="AO268" t="s">
        <v>98</v>
      </c>
      <c r="AP268" t="s">
        <v>99</v>
      </c>
      <c r="AQ268" t="s">
        <v>102</v>
      </c>
      <c r="AV268" t="s">
        <v>98</v>
      </c>
      <c r="AX268" t="s">
        <v>150</v>
      </c>
      <c r="BF268" t="s">
        <v>976</v>
      </c>
      <c r="BG268" t="s">
        <v>98</v>
      </c>
      <c r="BH268" t="s">
        <v>98</v>
      </c>
      <c r="BI268" t="s">
        <v>98</v>
      </c>
      <c r="BK268" t="s">
        <v>138</v>
      </c>
      <c r="CA268" t="s">
        <v>964</v>
      </c>
      <c r="CB268" t="s">
        <v>150</v>
      </c>
      <c r="CL268" t="s">
        <v>98</v>
      </c>
      <c r="CM268" t="s">
        <v>98</v>
      </c>
      <c r="CN268" t="s">
        <v>349</v>
      </c>
      <c r="CO268" s="1">
        <v>42960</v>
      </c>
      <c r="CP268" s="1">
        <v>43595</v>
      </c>
    </row>
    <row r="269" spans="1:94" x14ac:dyDescent="0.25">
      <c r="A269" s="4" t="s">
        <v>977</v>
      </c>
      <c r="B269" t="str">
        <f xml:space="preserve"> "" &amp; 718212804506</f>
        <v>718212804506</v>
      </c>
      <c r="C269" t="s">
        <v>786</v>
      </c>
      <c r="D269" t="s">
        <v>978</v>
      </c>
      <c r="F269" t="s">
        <v>135</v>
      </c>
      <c r="G269">
        <v>1</v>
      </c>
      <c r="H269">
        <v>1</v>
      </c>
      <c r="I269" t="s">
        <v>97</v>
      </c>
      <c r="J269" s="32">
        <v>3.5</v>
      </c>
      <c r="K269" s="32">
        <v>10.5</v>
      </c>
      <c r="L269">
        <v>0</v>
      </c>
      <c r="N269">
        <v>0</v>
      </c>
      <c r="S269">
        <v>3.5</v>
      </c>
      <c r="T269">
        <v>1.07</v>
      </c>
      <c r="U269">
        <v>1.07</v>
      </c>
      <c r="W269">
        <v>1.94</v>
      </c>
      <c r="X269">
        <v>1</v>
      </c>
      <c r="AB269">
        <v>3.7000000000000002E-3</v>
      </c>
      <c r="AC269">
        <v>2.09</v>
      </c>
      <c r="AK269" t="s">
        <v>98</v>
      </c>
      <c r="AM269" t="s">
        <v>98</v>
      </c>
      <c r="AN269" t="s">
        <v>98</v>
      </c>
      <c r="AO269" t="s">
        <v>98</v>
      </c>
      <c r="AP269" t="s">
        <v>99</v>
      </c>
      <c r="AQ269" t="s">
        <v>102</v>
      </c>
      <c r="AV269" t="s">
        <v>98</v>
      </c>
      <c r="AX269" t="s">
        <v>154</v>
      </c>
      <c r="BF269" t="s">
        <v>979</v>
      </c>
      <c r="BG269" t="s">
        <v>98</v>
      </c>
      <c r="BH269" t="s">
        <v>98</v>
      </c>
      <c r="BI269" t="s">
        <v>98</v>
      </c>
      <c r="BK269" t="s">
        <v>138</v>
      </c>
      <c r="CA269" t="s">
        <v>964</v>
      </c>
      <c r="CB269" t="s">
        <v>154</v>
      </c>
      <c r="CL269" t="s">
        <v>98</v>
      </c>
      <c r="CM269" t="s">
        <v>98</v>
      </c>
      <c r="CN269" t="s">
        <v>349</v>
      </c>
      <c r="CO269" s="1">
        <v>42974</v>
      </c>
      <c r="CP269" s="1">
        <v>43595</v>
      </c>
    </row>
    <row r="270" spans="1:94" x14ac:dyDescent="0.25">
      <c r="A270" s="4" t="s">
        <v>980</v>
      </c>
      <c r="B270" t="str">
        <f xml:space="preserve"> "" &amp; 706411062728</f>
        <v>706411062728</v>
      </c>
      <c r="C270" t="s">
        <v>786</v>
      </c>
      <c r="D270" t="s">
        <v>981</v>
      </c>
      <c r="F270" t="s">
        <v>135</v>
      </c>
      <c r="G270">
        <v>1</v>
      </c>
      <c r="H270">
        <v>1</v>
      </c>
      <c r="I270" t="s">
        <v>97</v>
      </c>
      <c r="J270" s="32">
        <v>3.5</v>
      </c>
      <c r="K270" s="32">
        <v>10.5</v>
      </c>
      <c r="L270">
        <v>0</v>
      </c>
      <c r="N270">
        <v>0</v>
      </c>
      <c r="S270">
        <v>3.5</v>
      </c>
      <c r="T270">
        <v>1.07</v>
      </c>
      <c r="U270">
        <v>1.07</v>
      </c>
      <c r="W270">
        <v>1.94</v>
      </c>
      <c r="X270">
        <v>1</v>
      </c>
      <c r="AB270">
        <v>3.7000000000000002E-3</v>
      </c>
      <c r="AC270">
        <v>2.09</v>
      </c>
      <c r="AK270" t="s">
        <v>98</v>
      </c>
      <c r="AM270" t="s">
        <v>98</v>
      </c>
      <c r="AN270" t="s">
        <v>98</v>
      </c>
      <c r="AO270" t="s">
        <v>98</v>
      </c>
      <c r="AP270" t="s">
        <v>99</v>
      </c>
      <c r="AQ270" t="s">
        <v>102</v>
      </c>
      <c r="AV270" t="s">
        <v>98</v>
      </c>
      <c r="AX270" t="s">
        <v>179</v>
      </c>
      <c r="BF270" t="s">
        <v>982</v>
      </c>
      <c r="BG270" t="s">
        <v>98</v>
      </c>
      <c r="BH270" t="s">
        <v>98</v>
      </c>
      <c r="BI270" t="s">
        <v>98</v>
      </c>
      <c r="BJ270" t="s">
        <v>291</v>
      </c>
      <c r="BK270" t="s">
        <v>292</v>
      </c>
      <c r="CA270" t="s">
        <v>964</v>
      </c>
      <c r="CB270" t="s">
        <v>179</v>
      </c>
      <c r="CL270" t="s">
        <v>98</v>
      </c>
      <c r="CM270" t="s">
        <v>98</v>
      </c>
      <c r="CN270" t="s">
        <v>349</v>
      </c>
      <c r="CO270" s="1">
        <v>43595</v>
      </c>
      <c r="CP270" s="1">
        <v>43595</v>
      </c>
    </row>
    <row r="271" spans="1:94" x14ac:dyDescent="0.25">
      <c r="A271" s="4" t="s">
        <v>983</v>
      </c>
      <c r="B271" t="str">
        <f xml:space="preserve"> "" &amp; 706411044694</f>
        <v>706411044694</v>
      </c>
      <c r="C271" t="s">
        <v>786</v>
      </c>
      <c r="D271" t="s">
        <v>984</v>
      </c>
      <c r="F271" t="s">
        <v>135</v>
      </c>
      <c r="G271">
        <v>1</v>
      </c>
      <c r="H271">
        <v>1</v>
      </c>
      <c r="I271" t="s">
        <v>97</v>
      </c>
      <c r="J271" s="32">
        <v>3.5</v>
      </c>
      <c r="K271" s="32">
        <v>10.5</v>
      </c>
      <c r="L271">
        <v>0</v>
      </c>
      <c r="N271">
        <v>0</v>
      </c>
      <c r="S271">
        <v>3.5</v>
      </c>
      <c r="T271">
        <v>1.07</v>
      </c>
      <c r="U271">
        <v>1.07</v>
      </c>
      <c r="W271">
        <v>0.20499999999999999</v>
      </c>
      <c r="X271">
        <v>1</v>
      </c>
      <c r="AB271">
        <v>3.5000000000000001E-3</v>
      </c>
      <c r="AC271">
        <v>0.22</v>
      </c>
      <c r="AK271" t="s">
        <v>98</v>
      </c>
      <c r="AM271" t="s">
        <v>98</v>
      </c>
      <c r="AN271" t="s">
        <v>98</v>
      </c>
      <c r="AO271" t="s">
        <v>98</v>
      </c>
      <c r="AP271" t="s">
        <v>99</v>
      </c>
      <c r="AQ271" t="s">
        <v>102</v>
      </c>
      <c r="AV271" t="s">
        <v>98</v>
      </c>
      <c r="AX271" t="s">
        <v>245</v>
      </c>
      <c r="BF271" t="s">
        <v>985</v>
      </c>
      <c r="BG271" t="s">
        <v>98</v>
      </c>
      <c r="BH271" t="s">
        <v>98</v>
      </c>
      <c r="BI271" t="s">
        <v>98</v>
      </c>
      <c r="BK271" t="s">
        <v>138</v>
      </c>
      <c r="CA271" t="s">
        <v>964</v>
      </c>
      <c r="CB271" t="s">
        <v>245</v>
      </c>
      <c r="CL271" t="s">
        <v>98</v>
      </c>
      <c r="CM271" t="s">
        <v>98</v>
      </c>
      <c r="CO271" s="1">
        <v>42946</v>
      </c>
      <c r="CP271" s="1">
        <v>43595</v>
      </c>
    </row>
    <row r="272" spans="1:94" x14ac:dyDescent="0.25">
      <c r="A272" s="4" t="s">
        <v>986</v>
      </c>
      <c r="B272" t="str">
        <f xml:space="preserve"> "" &amp; 706411057366</f>
        <v>706411057366</v>
      </c>
      <c r="C272" t="s">
        <v>786</v>
      </c>
      <c r="D272" t="s">
        <v>987</v>
      </c>
      <c r="F272" t="s">
        <v>135</v>
      </c>
      <c r="G272">
        <v>1</v>
      </c>
      <c r="H272">
        <v>1</v>
      </c>
      <c r="I272" t="s">
        <v>97</v>
      </c>
      <c r="J272" s="32">
        <v>3.5</v>
      </c>
      <c r="K272" s="32">
        <v>10.5</v>
      </c>
      <c r="L272">
        <v>0</v>
      </c>
      <c r="N272">
        <v>0</v>
      </c>
      <c r="S272">
        <v>3.5</v>
      </c>
      <c r="T272">
        <v>1.07</v>
      </c>
      <c r="U272">
        <v>1.07</v>
      </c>
      <c r="W272">
        <v>0.19400000000000001</v>
      </c>
      <c r="X272">
        <v>1</v>
      </c>
      <c r="AB272">
        <v>3.7000000000000002E-3</v>
      </c>
      <c r="AC272">
        <v>0.20899999999999999</v>
      </c>
      <c r="AK272" t="s">
        <v>98</v>
      </c>
      <c r="AM272" t="s">
        <v>98</v>
      </c>
      <c r="AN272" t="s">
        <v>98</v>
      </c>
      <c r="AO272" t="s">
        <v>98</v>
      </c>
      <c r="AP272" t="s">
        <v>99</v>
      </c>
      <c r="AQ272" t="s">
        <v>102</v>
      </c>
      <c r="AV272" t="s">
        <v>98</v>
      </c>
      <c r="AX272" t="s">
        <v>441</v>
      </c>
      <c r="BF272" t="s">
        <v>988</v>
      </c>
      <c r="BG272" t="s">
        <v>98</v>
      </c>
      <c r="BH272" t="s">
        <v>98</v>
      </c>
      <c r="BI272" t="s">
        <v>98</v>
      </c>
      <c r="BK272" t="s">
        <v>138</v>
      </c>
      <c r="CB272" t="s">
        <v>441</v>
      </c>
      <c r="CL272" t="s">
        <v>98</v>
      </c>
      <c r="CM272" t="s">
        <v>98</v>
      </c>
      <c r="CN272" t="s">
        <v>349</v>
      </c>
      <c r="CO272" s="1">
        <v>43396</v>
      </c>
      <c r="CP272" s="1">
        <v>43595</v>
      </c>
    </row>
    <row r="273" spans="1:94" x14ac:dyDescent="0.25">
      <c r="A273" s="4" t="s">
        <v>989</v>
      </c>
      <c r="B273" t="str">
        <f xml:space="preserve"> "" &amp; 718212801550</f>
        <v>718212801550</v>
      </c>
      <c r="C273" t="s">
        <v>786</v>
      </c>
      <c r="D273" t="s">
        <v>990</v>
      </c>
      <c r="F273" t="s">
        <v>135</v>
      </c>
      <c r="G273">
        <v>1</v>
      </c>
      <c r="H273">
        <v>1</v>
      </c>
      <c r="I273" t="s">
        <v>97</v>
      </c>
      <c r="J273" s="32">
        <v>3.5</v>
      </c>
      <c r="K273" s="32">
        <v>10.5</v>
      </c>
      <c r="L273">
        <v>0</v>
      </c>
      <c r="N273">
        <v>0</v>
      </c>
      <c r="T273">
        <v>4.5</v>
      </c>
      <c r="U273">
        <v>0.75</v>
      </c>
      <c r="W273">
        <v>0.26200000000000001</v>
      </c>
      <c r="X273">
        <v>1</v>
      </c>
      <c r="AB273">
        <v>5.0000000000000001E-3</v>
      </c>
      <c r="AC273">
        <v>0.27900000000000003</v>
      </c>
      <c r="AK273" t="s">
        <v>98</v>
      </c>
      <c r="AM273" t="s">
        <v>98</v>
      </c>
      <c r="AN273" t="s">
        <v>98</v>
      </c>
      <c r="AO273" t="s">
        <v>98</v>
      </c>
      <c r="AP273" t="s">
        <v>99</v>
      </c>
      <c r="AQ273" t="s">
        <v>102</v>
      </c>
      <c r="AV273" t="s">
        <v>98</v>
      </c>
      <c r="AX273" t="s">
        <v>302</v>
      </c>
      <c r="BF273" t="s">
        <v>991</v>
      </c>
      <c r="BG273" t="s">
        <v>98</v>
      </c>
      <c r="BH273" t="s">
        <v>98</v>
      </c>
      <c r="BI273" t="s">
        <v>98</v>
      </c>
      <c r="CB273" t="s">
        <v>302</v>
      </c>
      <c r="CL273" t="s">
        <v>98</v>
      </c>
      <c r="CM273" t="s">
        <v>98</v>
      </c>
      <c r="CP273" s="1">
        <v>43595</v>
      </c>
    </row>
    <row r="274" spans="1:94" x14ac:dyDescent="0.25">
      <c r="A274" s="4" t="s">
        <v>992</v>
      </c>
      <c r="B274" t="str">
        <f xml:space="preserve"> "" &amp; 706411036514</f>
        <v>706411036514</v>
      </c>
      <c r="C274" t="s">
        <v>786</v>
      </c>
      <c r="D274" t="s">
        <v>4401</v>
      </c>
      <c r="F274" t="s">
        <v>135</v>
      </c>
      <c r="G274">
        <v>1</v>
      </c>
      <c r="H274">
        <v>1</v>
      </c>
      <c r="I274" t="s">
        <v>97</v>
      </c>
      <c r="J274" s="32">
        <v>3.5</v>
      </c>
      <c r="K274" s="32">
        <v>10.5</v>
      </c>
      <c r="L274">
        <v>0</v>
      </c>
      <c r="N274">
        <v>0</v>
      </c>
      <c r="T274">
        <v>4.5</v>
      </c>
      <c r="U274">
        <v>0.75</v>
      </c>
      <c r="W274">
        <v>0.38900000000000001</v>
      </c>
      <c r="X274">
        <v>1</v>
      </c>
      <c r="AB274">
        <v>1.44E-2</v>
      </c>
      <c r="AC274">
        <v>0.41099999999999998</v>
      </c>
      <c r="AK274" t="s">
        <v>98</v>
      </c>
      <c r="AM274" t="s">
        <v>98</v>
      </c>
      <c r="AN274" t="s">
        <v>98</v>
      </c>
      <c r="AO274" t="s">
        <v>98</v>
      </c>
      <c r="AP274" t="s">
        <v>99</v>
      </c>
      <c r="AQ274" t="s">
        <v>102</v>
      </c>
      <c r="AV274" t="s">
        <v>98</v>
      </c>
      <c r="AX274" t="s">
        <v>136</v>
      </c>
      <c r="BF274" t="s">
        <v>993</v>
      </c>
      <c r="BG274" t="s">
        <v>98</v>
      </c>
      <c r="BH274" t="s">
        <v>98</v>
      </c>
      <c r="BI274" t="s">
        <v>98</v>
      </c>
      <c r="CB274" t="s">
        <v>136</v>
      </c>
      <c r="CL274" t="s">
        <v>98</v>
      </c>
      <c r="CM274" t="s">
        <v>98</v>
      </c>
      <c r="CP274" s="1">
        <v>43595</v>
      </c>
    </row>
    <row r="275" spans="1:94" x14ac:dyDescent="0.25">
      <c r="A275" s="4" t="s">
        <v>994</v>
      </c>
      <c r="B275" t="str">
        <f xml:space="preserve"> "" &amp; 706411036460</f>
        <v>706411036460</v>
      </c>
      <c r="C275" t="s">
        <v>786</v>
      </c>
      <c r="D275" t="s">
        <v>995</v>
      </c>
      <c r="F275" t="s">
        <v>135</v>
      </c>
      <c r="G275">
        <v>1</v>
      </c>
      <c r="H275">
        <v>1</v>
      </c>
      <c r="I275" t="s">
        <v>97</v>
      </c>
      <c r="J275" s="32">
        <v>3.5</v>
      </c>
      <c r="K275" s="32">
        <v>10.5</v>
      </c>
      <c r="L275">
        <v>0</v>
      </c>
      <c r="N275">
        <v>0</v>
      </c>
      <c r="T275">
        <v>4.5</v>
      </c>
      <c r="U275">
        <v>0.75</v>
      </c>
      <c r="W275">
        <v>0.26400000000000001</v>
      </c>
      <c r="X275">
        <v>1</v>
      </c>
      <c r="AB275">
        <v>5.7999999999999996E-3</v>
      </c>
      <c r="AC275">
        <v>0.28399999999999997</v>
      </c>
      <c r="AK275" t="s">
        <v>98</v>
      </c>
      <c r="AM275" t="s">
        <v>98</v>
      </c>
      <c r="AN275" t="s">
        <v>98</v>
      </c>
      <c r="AO275" t="s">
        <v>98</v>
      </c>
      <c r="AP275" t="s">
        <v>99</v>
      </c>
      <c r="AQ275" t="s">
        <v>102</v>
      </c>
      <c r="AV275" t="s">
        <v>98</v>
      </c>
      <c r="AX275" t="s">
        <v>150</v>
      </c>
      <c r="BF275" t="s">
        <v>996</v>
      </c>
      <c r="BG275" t="s">
        <v>98</v>
      </c>
      <c r="BH275" t="s">
        <v>98</v>
      </c>
      <c r="BI275" t="s">
        <v>98</v>
      </c>
      <c r="BK275" t="s">
        <v>138</v>
      </c>
      <c r="CA275" t="s">
        <v>997</v>
      </c>
      <c r="CB275" t="s">
        <v>150</v>
      </c>
      <c r="CL275" t="s">
        <v>98</v>
      </c>
      <c r="CM275" t="s">
        <v>98</v>
      </c>
      <c r="CN275" t="s">
        <v>349</v>
      </c>
      <c r="CP275" s="1">
        <v>43595</v>
      </c>
    </row>
    <row r="276" spans="1:94" x14ac:dyDescent="0.25">
      <c r="A276" s="4" t="s">
        <v>998</v>
      </c>
      <c r="B276" t="str">
        <f xml:space="preserve"> "" &amp; 706411041945</f>
        <v>706411041945</v>
      </c>
      <c r="C276" t="s">
        <v>786</v>
      </c>
      <c r="D276" t="s">
        <v>4402</v>
      </c>
      <c r="F276" t="s">
        <v>135</v>
      </c>
      <c r="G276">
        <v>1</v>
      </c>
      <c r="H276">
        <v>1</v>
      </c>
      <c r="I276" t="s">
        <v>97</v>
      </c>
      <c r="J276" s="32">
        <v>3.5</v>
      </c>
      <c r="K276" s="32">
        <v>10.5</v>
      </c>
      <c r="L276">
        <v>0</v>
      </c>
      <c r="N276">
        <v>0</v>
      </c>
      <c r="T276">
        <v>4.5</v>
      </c>
      <c r="U276">
        <v>0.75</v>
      </c>
      <c r="W276">
        <v>0.38900000000000001</v>
      </c>
      <c r="X276">
        <v>1</v>
      </c>
      <c r="AB276">
        <v>1.44E-2</v>
      </c>
      <c r="AC276">
        <v>0.41099999999999998</v>
      </c>
      <c r="AK276" t="s">
        <v>98</v>
      </c>
      <c r="AM276" t="s">
        <v>98</v>
      </c>
      <c r="AN276" t="s">
        <v>98</v>
      </c>
      <c r="AO276" t="s">
        <v>98</v>
      </c>
      <c r="AP276" t="s">
        <v>99</v>
      </c>
      <c r="AQ276" t="s">
        <v>102</v>
      </c>
      <c r="AV276" t="s">
        <v>98</v>
      </c>
      <c r="AX276" t="s">
        <v>193</v>
      </c>
      <c r="BF276" t="s">
        <v>999</v>
      </c>
      <c r="BG276" t="s">
        <v>98</v>
      </c>
      <c r="BH276" t="s">
        <v>98</v>
      </c>
      <c r="BI276" t="s">
        <v>98</v>
      </c>
      <c r="CB276" t="s">
        <v>193</v>
      </c>
      <c r="CL276" t="s">
        <v>98</v>
      </c>
      <c r="CM276" t="s">
        <v>98</v>
      </c>
      <c r="CP276" s="1">
        <v>43595</v>
      </c>
    </row>
    <row r="277" spans="1:94" x14ac:dyDescent="0.25">
      <c r="A277" s="4" t="s">
        <v>1000</v>
      </c>
      <c r="B277" t="str">
        <f xml:space="preserve"> "" &amp; 718212801567</f>
        <v>718212801567</v>
      </c>
      <c r="C277" t="s">
        <v>786</v>
      </c>
      <c r="D277" t="s">
        <v>1001</v>
      </c>
      <c r="F277" t="s">
        <v>135</v>
      </c>
      <c r="G277">
        <v>1</v>
      </c>
      <c r="H277">
        <v>1</v>
      </c>
      <c r="I277" t="s">
        <v>97</v>
      </c>
      <c r="J277" s="32">
        <v>3.5</v>
      </c>
      <c r="K277" s="32">
        <v>10.5</v>
      </c>
      <c r="L277">
        <v>0</v>
      </c>
      <c r="N277">
        <v>0</v>
      </c>
      <c r="T277">
        <v>4.5</v>
      </c>
      <c r="U277">
        <v>0.75</v>
      </c>
      <c r="W277">
        <v>0.26400000000000001</v>
      </c>
      <c r="X277">
        <v>1</v>
      </c>
      <c r="AB277">
        <v>5.7999999999999996E-3</v>
      </c>
      <c r="AC277">
        <v>0.28399999999999997</v>
      </c>
      <c r="AK277" t="s">
        <v>98</v>
      </c>
      <c r="AM277" t="s">
        <v>98</v>
      </c>
      <c r="AN277" t="s">
        <v>98</v>
      </c>
      <c r="AO277" t="s">
        <v>98</v>
      </c>
      <c r="AP277" t="s">
        <v>99</v>
      </c>
      <c r="AQ277" t="s">
        <v>102</v>
      </c>
      <c r="AV277" t="s">
        <v>98</v>
      </c>
      <c r="AX277" t="s">
        <v>245</v>
      </c>
      <c r="BF277" t="s">
        <v>1002</v>
      </c>
      <c r="BG277" t="s">
        <v>98</v>
      </c>
      <c r="BH277" t="s">
        <v>98</v>
      </c>
      <c r="BI277" t="s">
        <v>98</v>
      </c>
      <c r="CB277" t="s">
        <v>245</v>
      </c>
      <c r="CL277" t="s">
        <v>98</v>
      </c>
      <c r="CM277" t="s">
        <v>98</v>
      </c>
      <c r="CP277" s="1">
        <v>43595</v>
      </c>
    </row>
    <row r="278" spans="1:94" x14ac:dyDescent="0.25">
      <c r="A278" s="4" t="s">
        <v>1003</v>
      </c>
      <c r="B278" t="str">
        <f xml:space="preserve"> "" &amp; 706411043413</f>
        <v>706411043413</v>
      </c>
      <c r="C278" t="s">
        <v>786</v>
      </c>
      <c r="D278" t="s">
        <v>1004</v>
      </c>
      <c r="F278" t="s">
        <v>135</v>
      </c>
      <c r="G278">
        <v>1</v>
      </c>
      <c r="H278">
        <v>1</v>
      </c>
      <c r="I278" t="s">
        <v>97</v>
      </c>
      <c r="J278" s="32">
        <v>3.5</v>
      </c>
      <c r="K278" s="32">
        <v>10.5</v>
      </c>
      <c r="L278">
        <v>0</v>
      </c>
      <c r="N278">
        <v>0</v>
      </c>
      <c r="T278">
        <v>4.5</v>
      </c>
      <c r="U278">
        <v>0.75</v>
      </c>
      <c r="W278">
        <v>0.38900000000000001</v>
      </c>
      <c r="X278">
        <v>1</v>
      </c>
      <c r="AB278">
        <v>1.44E-2</v>
      </c>
      <c r="AC278">
        <v>0.41099999999999998</v>
      </c>
      <c r="AK278" t="s">
        <v>98</v>
      </c>
      <c r="AM278" t="s">
        <v>98</v>
      </c>
      <c r="AN278" t="s">
        <v>98</v>
      </c>
      <c r="AO278" t="s">
        <v>98</v>
      </c>
      <c r="AP278" t="s">
        <v>99</v>
      </c>
      <c r="AQ278" t="s">
        <v>102</v>
      </c>
      <c r="AV278" t="s">
        <v>98</v>
      </c>
      <c r="AX278" t="s">
        <v>257</v>
      </c>
      <c r="BF278" t="s">
        <v>1005</v>
      </c>
      <c r="BG278" t="s">
        <v>98</v>
      </c>
      <c r="BH278" t="s">
        <v>98</v>
      </c>
      <c r="BI278" t="s">
        <v>98</v>
      </c>
      <c r="CB278" t="s">
        <v>257</v>
      </c>
      <c r="CL278" t="s">
        <v>98</v>
      </c>
      <c r="CM278" t="s">
        <v>98</v>
      </c>
      <c r="CP278" s="1">
        <v>43595</v>
      </c>
    </row>
    <row r="279" spans="1:94" x14ac:dyDescent="0.25">
      <c r="A279" s="4" t="s">
        <v>1006</v>
      </c>
      <c r="B279" t="str">
        <f xml:space="preserve"> "" &amp; 706411036484</f>
        <v>706411036484</v>
      </c>
      <c r="C279" t="s">
        <v>786</v>
      </c>
      <c r="D279" t="s">
        <v>4403</v>
      </c>
      <c r="F279" t="s">
        <v>135</v>
      </c>
      <c r="G279">
        <v>1</v>
      </c>
      <c r="H279">
        <v>1</v>
      </c>
      <c r="I279" t="s">
        <v>97</v>
      </c>
      <c r="J279" s="32">
        <v>3.5</v>
      </c>
      <c r="K279" s="32">
        <v>10.5</v>
      </c>
      <c r="L279">
        <v>0</v>
      </c>
      <c r="N279">
        <v>0</v>
      </c>
      <c r="T279">
        <v>4.5</v>
      </c>
      <c r="U279">
        <v>0.75</v>
      </c>
      <c r="W279">
        <v>0.38900000000000001</v>
      </c>
      <c r="X279">
        <v>1</v>
      </c>
      <c r="AB279">
        <v>1.44E-2</v>
      </c>
      <c r="AC279">
        <v>0.41099999999999998</v>
      </c>
      <c r="AK279" t="s">
        <v>98</v>
      </c>
      <c r="AM279" t="s">
        <v>98</v>
      </c>
      <c r="AN279" t="s">
        <v>98</v>
      </c>
      <c r="AO279" t="s">
        <v>98</v>
      </c>
      <c r="AP279" t="s">
        <v>99</v>
      </c>
      <c r="AQ279" t="s">
        <v>102</v>
      </c>
      <c r="AV279" t="s">
        <v>98</v>
      </c>
      <c r="AX279" t="s">
        <v>458</v>
      </c>
      <c r="BF279" t="s">
        <v>1007</v>
      </c>
      <c r="BG279" t="s">
        <v>98</v>
      </c>
      <c r="BH279" t="s">
        <v>98</v>
      </c>
      <c r="BI279" t="s">
        <v>98</v>
      </c>
      <c r="CB279" t="s">
        <v>458</v>
      </c>
      <c r="CL279" t="s">
        <v>98</v>
      </c>
      <c r="CM279" t="s">
        <v>98</v>
      </c>
      <c r="CP279" s="1">
        <v>43595</v>
      </c>
    </row>
    <row r="280" spans="1:94" x14ac:dyDescent="0.25">
      <c r="A280" s="4" t="s">
        <v>1008</v>
      </c>
      <c r="B280" t="str">
        <f xml:space="preserve"> "" &amp; 706411044731</f>
        <v>706411044731</v>
      </c>
      <c r="C280" t="s">
        <v>786</v>
      </c>
      <c r="D280" t="s">
        <v>1009</v>
      </c>
      <c r="F280" t="s">
        <v>135</v>
      </c>
      <c r="G280">
        <v>1</v>
      </c>
      <c r="H280">
        <v>1</v>
      </c>
      <c r="I280" t="s">
        <v>97</v>
      </c>
      <c r="J280" s="32">
        <v>3.5</v>
      </c>
      <c r="K280" s="32">
        <v>10.5</v>
      </c>
      <c r="L280">
        <v>0</v>
      </c>
      <c r="N280">
        <v>0</v>
      </c>
      <c r="T280">
        <v>6</v>
      </c>
      <c r="U280">
        <v>0.75</v>
      </c>
      <c r="W280">
        <v>0.35</v>
      </c>
      <c r="X280">
        <v>1</v>
      </c>
      <c r="AB280">
        <v>5.8999999999999999E-3</v>
      </c>
      <c r="AC280">
        <v>0.36299999999999999</v>
      </c>
      <c r="AK280" t="s">
        <v>98</v>
      </c>
      <c r="AM280" t="s">
        <v>98</v>
      </c>
      <c r="AN280" t="s">
        <v>98</v>
      </c>
      <c r="AO280" t="s">
        <v>98</v>
      </c>
      <c r="AP280" t="s">
        <v>99</v>
      </c>
      <c r="AQ280" t="s">
        <v>102</v>
      </c>
      <c r="AV280" t="s">
        <v>98</v>
      </c>
      <c r="AX280" t="s">
        <v>302</v>
      </c>
      <c r="BF280" t="s">
        <v>1010</v>
      </c>
      <c r="BG280" t="s">
        <v>98</v>
      </c>
      <c r="BH280" t="s">
        <v>98</v>
      </c>
      <c r="BI280" t="s">
        <v>98</v>
      </c>
      <c r="BK280" t="s">
        <v>138</v>
      </c>
      <c r="CA280" t="s">
        <v>1011</v>
      </c>
      <c r="CB280" t="s">
        <v>302</v>
      </c>
      <c r="CL280" t="s">
        <v>98</v>
      </c>
      <c r="CM280" t="s">
        <v>98</v>
      </c>
      <c r="CN280" t="s">
        <v>349</v>
      </c>
      <c r="CO280" s="1">
        <v>43407</v>
      </c>
      <c r="CP280" s="1">
        <v>43595</v>
      </c>
    </row>
    <row r="281" spans="1:94" x14ac:dyDescent="0.25">
      <c r="A281" s="4" t="s">
        <v>1012</v>
      </c>
      <c r="B281" t="str">
        <f xml:space="preserve"> "" &amp; 706411044717</f>
        <v>706411044717</v>
      </c>
      <c r="C281" t="s">
        <v>786</v>
      </c>
      <c r="D281" t="s">
        <v>1013</v>
      </c>
      <c r="F281" t="s">
        <v>135</v>
      </c>
      <c r="G281">
        <v>1</v>
      </c>
      <c r="H281">
        <v>1</v>
      </c>
      <c r="I281" t="s">
        <v>97</v>
      </c>
      <c r="J281" s="32">
        <v>3.5</v>
      </c>
      <c r="K281" s="32">
        <v>10.5</v>
      </c>
      <c r="L281">
        <v>0</v>
      </c>
      <c r="N281">
        <v>0</v>
      </c>
      <c r="T281">
        <v>6</v>
      </c>
      <c r="U281">
        <v>0.75</v>
      </c>
      <c r="W281">
        <v>0.35</v>
      </c>
      <c r="X281">
        <v>1</v>
      </c>
      <c r="AB281">
        <v>5.8999999999999999E-3</v>
      </c>
      <c r="AC281">
        <v>0.36299999999999999</v>
      </c>
      <c r="AK281" t="s">
        <v>98</v>
      </c>
      <c r="AM281" t="s">
        <v>98</v>
      </c>
      <c r="AN281" t="s">
        <v>98</v>
      </c>
      <c r="AO281" t="s">
        <v>98</v>
      </c>
      <c r="AP281" t="s">
        <v>99</v>
      </c>
      <c r="AQ281" t="s">
        <v>102</v>
      </c>
      <c r="AV281" t="s">
        <v>98</v>
      </c>
      <c r="AX281" t="s">
        <v>150</v>
      </c>
      <c r="BF281" t="s">
        <v>1014</v>
      </c>
      <c r="BG281" t="s">
        <v>98</v>
      </c>
      <c r="BH281" t="s">
        <v>98</v>
      </c>
      <c r="BI281" t="s">
        <v>98</v>
      </c>
      <c r="BK281" t="s">
        <v>138</v>
      </c>
      <c r="CA281" t="s">
        <v>1011</v>
      </c>
      <c r="CB281" t="s">
        <v>150</v>
      </c>
      <c r="CL281" t="s">
        <v>98</v>
      </c>
      <c r="CM281" t="s">
        <v>98</v>
      </c>
      <c r="CN281" t="s">
        <v>349</v>
      </c>
      <c r="CP281" s="1">
        <v>43595</v>
      </c>
    </row>
    <row r="282" spans="1:94" x14ac:dyDescent="0.25">
      <c r="A282" s="4" t="s">
        <v>1015</v>
      </c>
      <c r="B282" t="str">
        <f xml:space="preserve"> "" &amp; 706411056260</f>
        <v>706411056260</v>
      </c>
      <c r="C282" t="s">
        <v>786</v>
      </c>
      <c r="D282" t="s">
        <v>1016</v>
      </c>
      <c r="F282" t="s">
        <v>135</v>
      </c>
      <c r="G282">
        <v>1</v>
      </c>
      <c r="H282">
        <v>1</v>
      </c>
      <c r="I282" t="s">
        <v>97</v>
      </c>
      <c r="J282" s="32">
        <v>3.5</v>
      </c>
      <c r="K282" s="32">
        <v>10.5</v>
      </c>
      <c r="L282">
        <v>0</v>
      </c>
      <c r="N282">
        <v>0</v>
      </c>
      <c r="T282">
        <v>6</v>
      </c>
      <c r="U282">
        <v>0.75</v>
      </c>
      <c r="W282">
        <v>0.35</v>
      </c>
      <c r="X282">
        <v>1</v>
      </c>
      <c r="AB282">
        <v>5.8999999999999999E-3</v>
      </c>
      <c r="AC282">
        <v>0.36299999999999999</v>
      </c>
      <c r="AK282" t="s">
        <v>98</v>
      </c>
      <c r="AM282" t="s">
        <v>98</v>
      </c>
      <c r="AN282" t="s">
        <v>98</v>
      </c>
      <c r="AO282" t="s">
        <v>98</v>
      </c>
      <c r="AP282" t="s">
        <v>99</v>
      </c>
      <c r="AQ282" t="s">
        <v>102</v>
      </c>
      <c r="AV282" t="s">
        <v>98</v>
      </c>
      <c r="AX282" t="s">
        <v>404</v>
      </c>
      <c r="BF282" t="s">
        <v>1017</v>
      </c>
      <c r="BG282" t="s">
        <v>98</v>
      </c>
      <c r="BH282" t="s">
        <v>98</v>
      </c>
      <c r="BI282" t="s">
        <v>98</v>
      </c>
      <c r="BJ282" t="s">
        <v>291</v>
      </c>
      <c r="BK282" t="s">
        <v>292</v>
      </c>
      <c r="CA282" t="s">
        <v>1011</v>
      </c>
      <c r="CB282" t="s">
        <v>404</v>
      </c>
      <c r="CL282" t="s">
        <v>98</v>
      </c>
      <c r="CM282" t="s">
        <v>98</v>
      </c>
      <c r="CN282" t="s">
        <v>349</v>
      </c>
      <c r="CO282" s="1">
        <v>43407</v>
      </c>
      <c r="CP282" s="1">
        <v>43595</v>
      </c>
    </row>
    <row r="283" spans="1:94" x14ac:dyDescent="0.25">
      <c r="A283" s="4" t="s">
        <v>1018</v>
      </c>
      <c r="B283" t="str">
        <f xml:space="preserve"> "" &amp; 706411044724</f>
        <v>706411044724</v>
      </c>
      <c r="C283" t="s">
        <v>786</v>
      </c>
      <c r="D283" t="s">
        <v>1019</v>
      </c>
      <c r="F283" t="s">
        <v>135</v>
      </c>
      <c r="G283">
        <v>1</v>
      </c>
      <c r="H283">
        <v>1</v>
      </c>
      <c r="I283" t="s">
        <v>97</v>
      </c>
      <c r="J283" s="32">
        <v>3.5</v>
      </c>
      <c r="K283" s="32">
        <v>10.5</v>
      </c>
      <c r="L283">
        <v>0</v>
      </c>
      <c r="N283">
        <v>0</v>
      </c>
      <c r="T283">
        <v>6</v>
      </c>
      <c r="U283">
        <v>0.75</v>
      </c>
      <c r="W283">
        <v>0.35</v>
      </c>
      <c r="X283">
        <v>1</v>
      </c>
      <c r="AB283">
        <v>5.8999999999999999E-3</v>
      </c>
      <c r="AC283">
        <v>0.36299999999999999</v>
      </c>
      <c r="AK283" t="s">
        <v>98</v>
      </c>
      <c r="AM283" t="s">
        <v>98</v>
      </c>
      <c r="AN283" t="s">
        <v>98</v>
      </c>
      <c r="AO283" t="s">
        <v>98</v>
      </c>
      <c r="AP283" t="s">
        <v>99</v>
      </c>
      <c r="AQ283" t="s">
        <v>102</v>
      </c>
      <c r="AV283" t="s">
        <v>98</v>
      </c>
      <c r="AX283" t="s">
        <v>245</v>
      </c>
      <c r="BF283" t="s">
        <v>1020</v>
      </c>
      <c r="BG283" t="s">
        <v>98</v>
      </c>
      <c r="BH283" t="s">
        <v>98</v>
      </c>
      <c r="BI283" t="s">
        <v>98</v>
      </c>
      <c r="BK283" t="s">
        <v>138</v>
      </c>
      <c r="CA283" t="s">
        <v>1011</v>
      </c>
      <c r="CB283" t="s">
        <v>245</v>
      </c>
      <c r="CL283" t="s">
        <v>98</v>
      </c>
      <c r="CM283" t="s">
        <v>98</v>
      </c>
      <c r="CN283" t="s">
        <v>349</v>
      </c>
      <c r="CO283" s="1">
        <v>43407</v>
      </c>
      <c r="CP283" s="1">
        <v>43595</v>
      </c>
    </row>
    <row r="284" spans="1:94" x14ac:dyDescent="0.25">
      <c r="A284" s="4" t="s">
        <v>1021</v>
      </c>
      <c r="B284" t="str">
        <f xml:space="preserve"> "" &amp; 706411042959</f>
        <v>706411042959</v>
      </c>
      <c r="C284" t="s">
        <v>786</v>
      </c>
      <c r="D284" t="s">
        <v>1022</v>
      </c>
      <c r="F284" t="s">
        <v>135</v>
      </c>
      <c r="G284">
        <v>1</v>
      </c>
      <c r="H284">
        <v>1</v>
      </c>
      <c r="I284" t="s">
        <v>97</v>
      </c>
      <c r="J284" s="32">
        <v>3.75</v>
      </c>
      <c r="K284" s="32">
        <v>11.25</v>
      </c>
      <c r="L284">
        <v>0</v>
      </c>
      <c r="N284">
        <v>0</v>
      </c>
      <c r="T284">
        <v>10</v>
      </c>
      <c r="U284">
        <v>0.75</v>
      </c>
      <c r="W284">
        <v>0.72599999999999998</v>
      </c>
      <c r="X284">
        <v>1</v>
      </c>
      <c r="AB284">
        <v>8.8999999999999999E-3</v>
      </c>
      <c r="AC284">
        <v>0.748</v>
      </c>
      <c r="AK284" t="s">
        <v>98</v>
      </c>
      <c r="AM284" t="s">
        <v>98</v>
      </c>
      <c r="AN284" t="s">
        <v>98</v>
      </c>
      <c r="AO284" t="s">
        <v>98</v>
      </c>
      <c r="AP284" t="s">
        <v>99</v>
      </c>
      <c r="AQ284" t="s">
        <v>102</v>
      </c>
      <c r="AV284" t="s">
        <v>98</v>
      </c>
      <c r="AX284" t="s">
        <v>150</v>
      </c>
      <c r="BF284" t="s">
        <v>1023</v>
      </c>
      <c r="BG284" t="s">
        <v>98</v>
      </c>
      <c r="BH284" t="s">
        <v>98</v>
      </c>
      <c r="BI284" t="s">
        <v>98</v>
      </c>
      <c r="CB284" t="s">
        <v>150</v>
      </c>
      <c r="CL284" t="s">
        <v>98</v>
      </c>
      <c r="CM284" t="s">
        <v>98</v>
      </c>
      <c r="CP284" s="1">
        <v>43595</v>
      </c>
    </row>
    <row r="285" spans="1:94" x14ac:dyDescent="0.25">
      <c r="A285" s="4" t="s">
        <v>1024</v>
      </c>
      <c r="B285" t="str">
        <f xml:space="preserve"> "" &amp; 706411042966</f>
        <v>706411042966</v>
      </c>
      <c r="C285" t="s">
        <v>786</v>
      </c>
      <c r="D285" t="s">
        <v>1025</v>
      </c>
      <c r="F285" t="s">
        <v>135</v>
      </c>
      <c r="G285">
        <v>1</v>
      </c>
      <c r="H285">
        <v>1</v>
      </c>
      <c r="I285" t="s">
        <v>97</v>
      </c>
      <c r="J285" s="32">
        <v>3.75</v>
      </c>
      <c r="K285" s="32">
        <v>11.25</v>
      </c>
      <c r="L285">
        <v>0</v>
      </c>
      <c r="N285">
        <v>0</v>
      </c>
      <c r="T285">
        <v>10</v>
      </c>
      <c r="U285">
        <v>0.75</v>
      </c>
      <c r="W285">
        <v>0.72599999999999998</v>
      </c>
      <c r="X285">
        <v>1</v>
      </c>
      <c r="AB285">
        <v>8.8999999999999999E-3</v>
      </c>
      <c r="AC285">
        <v>0.748</v>
      </c>
      <c r="AK285" t="s">
        <v>98</v>
      </c>
      <c r="AM285" t="s">
        <v>98</v>
      </c>
      <c r="AN285" t="s">
        <v>98</v>
      </c>
      <c r="AO285" t="s">
        <v>98</v>
      </c>
      <c r="AP285" t="s">
        <v>99</v>
      </c>
      <c r="AQ285" t="s">
        <v>102</v>
      </c>
      <c r="AV285" t="s">
        <v>98</v>
      </c>
      <c r="AX285" t="s">
        <v>245</v>
      </c>
      <c r="BF285" t="s">
        <v>1026</v>
      </c>
      <c r="BG285" t="s">
        <v>98</v>
      </c>
      <c r="BH285" t="s">
        <v>98</v>
      </c>
      <c r="BI285" t="s">
        <v>98</v>
      </c>
      <c r="CB285" t="s">
        <v>245</v>
      </c>
      <c r="CL285" t="s">
        <v>98</v>
      </c>
      <c r="CM285" t="s">
        <v>98</v>
      </c>
      <c r="CP285" s="1">
        <v>43595</v>
      </c>
    </row>
    <row r="286" spans="1:94" x14ac:dyDescent="0.25">
      <c r="A286" s="4" t="s">
        <v>1027</v>
      </c>
      <c r="B286" t="str">
        <f xml:space="preserve"> "" &amp; 706411003066</f>
        <v>706411003066</v>
      </c>
      <c r="C286" t="s">
        <v>786</v>
      </c>
      <c r="D286" t="s">
        <v>1028</v>
      </c>
      <c r="F286" t="s">
        <v>135</v>
      </c>
      <c r="G286">
        <v>1</v>
      </c>
      <c r="H286">
        <v>1</v>
      </c>
      <c r="I286" t="s">
        <v>97</v>
      </c>
      <c r="J286" s="32">
        <v>7</v>
      </c>
      <c r="K286" s="32">
        <v>21</v>
      </c>
      <c r="L286">
        <v>0</v>
      </c>
      <c r="N286">
        <v>0</v>
      </c>
      <c r="S286">
        <v>12</v>
      </c>
      <c r="U286">
        <v>0.75</v>
      </c>
      <c r="V286">
        <v>0.2</v>
      </c>
      <c r="W286">
        <v>0.31</v>
      </c>
      <c r="X286">
        <v>1</v>
      </c>
      <c r="Y286">
        <v>2.75</v>
      </c>
      <c r="Z286">
        <v>12.5</v>
      </c>
      <c r="AA286">
        <v>5.5</v>
      </c>
      <c r="AB286">
        <v>0.11</v>
      </c>
      <c r="AC286">
        <v>7.67</v>
      </c>
      <c r="AK286" t="s">
        <v>98</v>
      </c>
      <c r="AM286" t="s">
        <v>98</v>
      </c>
      <c r="AN286" t="s">
        <v>98</v>
      </c>
      <c r="AO286" t="s">
        <v>98</v>
      </c>
      <c r="AP286" t="s">
        <v>99</v>
      </c>
      <c r="AQ286" t="s">
        <v>102</v>
      </c>
      <c r="AV286" t="s">
        <v>98</v>
      </c>
      <c r="AX286" t="s">
        <v>302</v>
      </c>
      <c r="BF286" t="s">
        <v>1029</v>
      </c>
      <c r="BG286" t="s">
        <v>98</v>
      </c>
      <c r="BH286" t="s">
        <v>98</v>
      </c>
      <c r="BI286" t="s">
        <v>98</v>
      </c>
      <c r="CB286" t="s">
        <v>302</v>
      </c>
      <c r="CL286" t="s">
        <v>98</v>
      </c>
      <c r="CM286" t="s">
        <v>98</v>
      </c>
      <c r="CP286" s="1">
        <v>43595</v>
      </c>
    </row>
    <row r="287" spans="1:94" x14ac:dyDescent="0.25">
      <c r="A287" s="4" t="s">
        <v>1030</v>
      </c>
      <c r="B287" t="str">
        <f xml:space="preserve"> "" &amp; 706411050596</f>
        <v>706411050596</v>
      </c>
      <c r="C287" t="s">
        <v>786</v>
      </c>
      <c r="D287" t="s">
        <v>1031</v>
      </c>
      <c r="F287" t="s">
        <v>135</v>
      </c>
      <c r="G287">
        <v>1</v>
      </c>
      <c r="H287">
        <v>1</v>
      </c>
      <c r="I287" t="s">
        <v>97</v>
      </c>
      <c r="J287" s="32">
        <v>7</v>
      </c>
      <c r="K287" s="32">
        <v>21</v>
      </c>
      <c r="L287">
        <v>0</v>
      </c>
      <c r="N287">
        <v>0</v>
      </c>
      <c r="S287">
        <v>12</v>
      </c>
      <c r="U287">
        <v>0.75</v>
      </c>
      <c r="V287">
        <v>0.2</v>
      </c>
      <c r="W287">
        <v>0.31</v>
      </c>
      <c r="X287">
        <v>1</v>
      </c>
      <c r="Y287">
        <v>2.75</v>
      </c>
      <c r="Z287">
        <v>12.5</v>
      </c>
      <c r="AA287">
        <v>5.5</v>
      </c>
      <c r="AB287">
        <v>0.11</v>
      </c>
      <c r="AC287">
        <v>0.76600000000000001</v>
      </c>
      <c r="AK287" t="s">
        <v>98</v>
      </c>
      <c r="AM287" t="s">
        <v>98</v>
      </c>
      <c r="AN287" t="s">
        <v>98</v>
      </c>
      <c r="AO287" t="s">
        <v>98</v>
      </c>
      <c r="AP287" t="s">
        <v>99</v>
      </c>
      <c r="AQ287" t="s">
        <v>102</v>
      </c>
      <c r="AV287" t="s">
        <v>98</v>
      </c>
      <c r="AX287" t="s">
        <v>311</v>
      </c>
      <c r="BF287" t="s">
        <v>1032</v>
      </c>
      <c r="BG287" t="s">
        <v>98</v>
      </c>
      <c r="BH287" t="s">
        <v>98</v>
      </c>
      <c r="BI287" t="s">
        <v>98</v>
      </c>
      <c r="BJ287" t="s">
        <v>291</v>
      </c>
      <c r="BK287" t="s">
        <v>292</v>
      </c>
      <c r="CA287" t="s">
        <v>1033</v>
      </c>
      <c r="CB287" t="s">
        <v>311</v>
      </c>
      <c r="CL287" t="s">
        <v>98</v>
      </c>
      <c r="CM287" t="s">
        <v>98</v>
      </c>
      <c r="CN287" t="s">
        <v>700</v>
      </c>
      <c r="CO287" s="1">
        <v>43407</v>
      </c>
      <c r="CP287" s="1">
        <v>43595</v>
      </c>
    </row>
    <row r="288" spans="1:94" x14ac:dyDescent="0.25">
      <c r="A288" s="4" t="s">
        <v>1034</v>
      </c>
      <c r="B288" t="str">
        <f xml:space="preserve"> "" &amp; 706411020483</f>
        <v>706411020483</v>
      </c>
      <c r="C288" t="s">
        <v>786</v>
      </c>
      <c r="D288" t="s">
        <v>4358</v>
      </c>
      <c r="F288" t="s">
        <v>135</v>
      </c>
      <c r="G288">
        <v>1</v>
      </c>
      <c r="H288">
        <v>1</v>
      </c>
      <c r="I288" t="s">
        <v>97</v>
      </c>
      <c r="J288" s="32">
        <v>7</v>
      </c>
      <c r="K288" s="32">
        <v>21</v>
      </c>
      <c r="L288">
        <v>0</v>
      </c>
      <c r="N288">
        <v>0</v>
      </c>
      <c r="S288">
        <v>12</v>
      </c>
      <c r="U288">
        <v>0.75</v>
      </c>
      <c r="V288">
        <v>0.2</v>
      </c>
      <c r="W288">
        <v>0.31</v>
      </c>
      <c r="X288">
        <v>1</v>
      </c>
      <c r="Y288">
        <v>2.75</v>
      </c>
      <c r="Z288">
        <v>12.5</v>
      </c>
      <c r="AA288">
        <v>5.5</v>
      </c>
      <c r="AB288">
        <v>0.11</v>
      </c>
      <c r="AC288">
        <v>0.76600000000000001</v>
      </c>
      <c r="AK288" t="s">
        <v>98</v>
      </c>
      <c r="AM288" t="s">
        <v>98</v>
      </c>
      <c r="AN288" t="s">
        <v>98</v>
      </c>
      <c r="AO288" t="s">
        <v>98</v>
      </c>
      <c r="AP288" t="s">
        <v>99</v>
      </c>
      <c r="AQ288" t="s">
        <v>102</v>
      </c>
      <c r="AV288" t="s">
        <v>98</v>
      </c>
      <c r="AX288" t="s">
        <v>136</v>
      </c>
      <c r="BF288" t="s">
        <v>1035</v>
      </c>
      <c r="BG288" t="s">
        <v>98</v>
      </c>
      <c r="BH288" t="s">
        <v>98</v>
      </c>
      <c r="BI288" t="s">
        <v>98</v>
      </c>
      <c r="BK288" t="s">
        <v>138</v>
      </c>
      <c r="CA288" t="s">
        <v>1033</v>
      </c>
      <c r="CB288" t="s">
        <v>136</v>
      </c>
      <c r="CL288" t="s">
        <v>98</v>
      </c>
      <c r="CM288" t="s">
        <v>98</v>
      </c>
      <c r="CO288" s="1">
        <v>39728</v>
      </c>
      <c r="CP288" s="1">
        <v>43595</v>
      </c>
    </row>
    <row r="289" spans="1:94" x14ac:dyDescent="0.25">
      <c r="A289" s="4" t="s">
        <v>1036</v>
      </c>
      <c r="B289" t="str">
        <f xml:space="preserve"> "" &amp; 706411020490</f>
        <v>706411020490</v>
      </c>
      <c r="C289" t="s">
        <v>786</v>
      </c>
      <c r="D289" t="s">
        <v>4357</v>
      </c>
      <c r="F289" t="s">
        <v>135</v>
      </c>
      <c r="G289">
        <v>1</v>
      </c>
      <c r="H289">
        <v>1</v>
      </c>
      <c r="I289" t="s">
        <v>97</v>
      </c>
      <c r="J289" s="32">
        <v>7</v>
      </c>
      <c r="K289" s="32">
        <v>21</v>
      </c>
      <c r="L289">
        <v>0</v>
      </c>
      <c r="N289">
        <v>0</v>
      </c>
      <c r="S289">
        <v>12</v>
      </c>
      <c r="U289">
        <v>0.75</v>
      </c>
      <c r="V289">
        <v>0.2</v>
      </c>
      <c r="W289">
        <v>0.31</v>
      </c>
      <c r="X289">
        <v>1</v>
      </c>
      <c r="Y289">
        <v>2.75</v>
      </c>
      <c r="Z289">
        <v>12.5</v>
      </c>
      <c r="AA289">
        <v>5.5</v>
      </c>
      <c r="AB289">
        <v>0.11</v>
      </c>
      <c r="AC289">
        <v>0.76600000000000001</v>
      </c>
      <c r="AK289" t="s">
        <v>98</v>
      </c>
      <c r="AM289" t="s">
        <v>98</v>
      </c>
      <c r="AN289" t="s">
        <v>98</v>
      </c>
      <c r="AO289" t="s">
        <v>98</v>
      </c>
      <c r="AP289" t="s">
        <v>99</v>
      </c>
      <c r="AQ289" t="s">
        <v>102</v>
      </c>
      <c r="AV289" t="s">
        <v>98</v>
      </c>
      <c r="AX289" t="s">
        <v>317</v>
      </c>
      <c r="BF289" t="s">
        <v>1037</v>
      </c>
      <c r="BG289" t="s">
        <v>98</v>
      </c>
      <c r="BH289" t="s">
        <v>98</v>
      </c>
      <c r="BI289" t="s">
        <v>98</v>
      </c>
      <c r="BK289" t="s">
        <v>138</v>
      </c>
      <c r="CA289" t="s">
        <v>1033</v>
      </c>
      <c r="CB289" t="s">
        <v>317</v>
      </c>
      <c r="CL289" t="s">
        <v>98</v>
      </c>
      <c r="CM289" t="s">
        <v>98</v>
      </c>
      <c r="CO289" s="1">
        <v>39728</v>
      </c>
      <c r="CP289" s="1">
        <v>43595</v>
      </c>
    </row>
    <row r="290" spans="1:94" x14ac:dyDescent="0.25">
      <c r="A290" s="4" t="s">
        <v>1038</v>
      </c>
      <c r="B290" t="str">
        <f xml:space="preserve"> "" &amp; 706411035104</f>
        <v>706411035104</v>
      </c>
      <c r="C290" t="s">
        <v>786</v>
      </c>
      <c r="D290" t="s">
        <v>1039</v>
      </c>
      <c r="F290" t="s">
        <v>135</v>
      </c>
      <c r="G290">
        <v>1</v>
      </c>
      <c r="H290">
        <v>1</v>
      </c>
      <c r="I290" t="s">
        <v>97</v>
      </c>
      <c r="J290" s="32">
        <v>7</v>
      </c>
      <c r="K290" s="32">
        <v>21</v>
      </c>
      <c r="L290">
        <v>0</v>
      </c>
      <c r="N290">
        <v>0</v>
      </c>
      <c r="S290">
        <v>12</v>
      </c>
      <c r="U290">
        <v>0.75</v>
      </c>
      <c r="V290">
        <v>0.2</v>
      </c>
      <c r="W290">
        <v>0.31</v>
      </c>
      <c r="X290">
        <v>1</v>
      </c>
      <c r="Y290">
        <v>2.75</v>
      </c>
      <c r="Z290">
        <v>12.5</v>
      </c>
      <c r="AA290">
        <v>5.5</v>
      </c>
      <c r="AB290">
        <v>0.11</v>
      </c>
      <c r="AC290">
        <v>0.76600000000000001</v>
      </c>
      <c r="AK290" t="s">
        <v>98</v>
      </c>
      <c r="AM290" t="s">
        <v>98</v>
      </c>
      <c r="AN290" t="s">
        <v>98</v>
      </c>
      <c r="AO290" t="s">
        <v>98</v>
      </c>
      <c r="AP290" t="s">
        <v>99</v>
      </c>
      <c r="AQ290" t="s">
        <v>102</v>
      </c>
      <c r="AV290" t="s">
        <v>98</v>
      </c>
      <c r="AX290" t="s">
        <v>1040</v>
      </c>
      <c r="BF290" t="s">
        <v>1041</v>
      </c>
      <c r="BG290" t="s">
        <v>98</v>
      </c>
      <c r="BH290" t="s">
        <v>98</v>
      </c>
      <c r="BI290" t="s">
        <v>98</v>
      </c>
      <c r="BK290" t="s">
        <v>138</v>
      </c>
      <c r="CA290" t="s">
        <v>1033</v>
      </c>
      <c r="CL290" t="s">
        <v>98</v>
      </c>
      <c r="CM290" t="s">
        <v>98</v>
      </c>
      <c r="CO290" s="1">
        <v>39728</v>
      </c>
      <c r="CP290" s="1">
        <v>43595</v>
      </c>
    </row>
    <row r="291" spans="1:94" x14ac:dyDescent="0.25">
      <c r="A291" s="4" t="s">
        <v>1042</v>
      </c>
      <c r="B291" t="str">
        <f xml:space="preserve"> "" &amp; 706411026362</f>
        <v>706411026362</v>
      </c>
      <c r="C291" t="s">
        <v>786</v>
      </c>
      <c r="D291" t="s">
        <v>1043</v>
      </c>
      <c r="F291" t="s">
        <v>135</v>
      </c>
      <c r="G291">
        <v>1</v>
      </c>
      <c r="H291">
        <v>1</v>
      </c>
      <c r="I291" t="s">
        <v>97</v>
      </c>
      <c r="J291" s="32">
        <v>7</v>
      </c>
      <c r="K291" s="32">
        <v>21</v>
      </c>
      <c r="L291">
        <v>0</v>
      </c>
      <c r="N291">
        <v>0</v>
      </c>
      <c r="S291">
        <v>12</v>
      </c>
      <c r="U291">
        <v>0.75</v>
      </c>
      <c r="V291">
        <v>0.2</v>
      </c>
      <c r="W291">
        <v>0.31</v>
      </c>
      <c r="X291">
        <v>1</v>
      </c>
      <c r="Y291">
        <v>2.75</v>
      </c>
      <c r="Z291">
        <v>12.5</v>
      </c>
      <c r="AA291">
        <v>5.5</v>
      </c>
      <c r="AB291">
        <v>0.11</v>
      </c>
      <c r="AC291">
        <v>0.76600000000000001</v>
      </c>
      <c r="AK291" t="s">
        <v>98</v>
      </c>
      <c r="AM291" t="s">
        <v>98</v>
      </c>
      <c r="AN291" t="s">
        <v>98</v>
      </c>
      <c r="AO291" t="s">
        <v>98</v>
      </c>
      <c r="AP291" t="s">
        <v>99</v>
      </c>
      <c r="AQ291" t="s">
        <v>102</v>
      </c>
      <c r="AV291" t="s">
        <v>98</v>
      </c>
      <c r="AX291" t="s">
        <v>146</v>
      </c>
      <c r="BF291" t="s">
        <v>1044</v>
      </c>
      <c r="BG291" t="s">
        <v>98</v>
      </c>
      <c r="BH291" t="s">
        <v>98</v>
      </c>
      <c r="BI291" t="s">
        <v>98</v>
      </c>
      <c r="BK291" t="s">
        <v>138</v>
      </c>
      <c r="CA291" t="s">
        <v>1033</v>
      </c>
      <c r="CB291" t="s">
        <v>146</v>
      </c>
      <c r="CL291" t="s">
        <v>98</v>
      </c>
      <c r="CM291" t="s">
        <v>98</v>
      </c>
      <c r="CO291" s="1">
        <v>39728</v>
      </c>
      <c r="CP291" s="1">
        <v>43595</v>
      </c>
    </row>
    <row r="292" spans="1:94" x14ac:dyDescent="0.25">
      <c r="A292" s="4" t="s">
        <v>1045</v>
      </c>
      <c r="B292" t="str">
        <f xml:space="preserve"> "" &amp; 706411003073</f>
        <v>706411003073</v>
      </c>
      <c r="C292" t="s">
        <v>786</v>
      </c>
      <c r="D292" t="s">
        <v>1046</v>
      </c>
      <c r="F292" t="s">
        <v>135</v>
      </c>
      <c r="G292">
        <v>1</v>
      </c>
      <c r="H292">
        <v>1</v>
      </c>
      <c r="I292" t="s">
        <v>97</v>
      </c>
      <c r="J292" s="32">
        <v>7</v>
      </c>
      <c r="K292" s="32">
        <v>21</v>
      </c>
      <c r="L292">
        <v>0</v>
      </c>
      <c r="N292">
        <v>0</v>
      </c>
      <c r="S292">
        <v>12</v>
      </c>
      <c r="U292">
        <v>0.75</v>
      </c>
      <c r="V292">
        <v>0.2</v>
      </c>
      <c r="W292">
        <v>0.31</v>
      </c>
      <c r="X292">
        <v>1</v>
      </c>
      <c r="Y292">
        <v>2.75</v>
      </c>
      <c r="Z292">
        <v>12.5</v>
      </c>
      <c r="AA292">
        <v>5.5</v>
      </c>
      <c r="AB292">
        <v>0.11</v>
      </c>
      <c r="AC292">
        <v>0.76600000000000001</v>
      </c>
      <c r="AK292" t="s">
        <v>98</v>
      </c>
      <c r="AM292" t="s">
        <v>98</v>
      </c>
      <c r="AN292" t="s">
        <v>98</v>
      </c>
      <c r="AO292" t="s">
        <v>98</v>
      </c>
      <c r="AP292" t="s">
        <v>99</v>
      </c>
      <c r="AQ292" t="s">
        <v>102</v>
      </c>
      <c r="AV292" t="s">
        <v>98</v>
      </c>
      <c r="AX292" t="s">
        <v>150</v>
      </c>
      <c r="BF292" t="s">
        <v>1047</v>
      </c>
      <c r="BG292" t="s">
        <v>98</v>
      </c>
      <c r="BH292" t="s">
        <v>98</v>
      </c>
      <c r="BI292" t="s">
        <v>98</v>
      </c>
      <c r="BK292" t="s">
        <v>138</v>
      </c>
      <c r="CA292" t="s">
        <v>1033</v>
      </c>
      <c r="CB292" t="s">
        <v>150</v>
      </c>
      <c r="CL292" t="s">
        <v>98</v>
      </c>
      <c r="CM292" t="s">
        <v>98</v>
      </c>
      <c r="CO292" s="1">
        <v>39728</v>
      </c>
      <c r="CP292" s="1">
        <v>43595</v>
      </c>
    </row>
    <row r="293" spans="1:94" x14ac:dyDescent="0.25">
      <c r="A293" s="4" t="s">
        <v>1048</v>
      </c>
      <c r="B293" t="str">
        <f xml:space="preserve"> "" &amp; 706411056758</f>
        <v>706411056758</v>
      </c>
      <c r="C293" t="s">
        <v>786</v>
      </c>
      <c r="D293" t="s">
        <v>1049</v>
      </c>
      <c r="F293" t="s">
        <v>135</v>
      </c>
      <c r="G293">
        <v>1</v>
      </c>
      <c r="H293">
        <v>1</v>
      </c>
      <c r="I293" t="s">
        <v>97</v>
      </c>
      <c r="J293" s="32">
        <v>7</v>
      </c>
      <c r="K293" s="32">
        <v>21</v>
      </c>
      <c r="L293">
        <v>0</v>
      </c>
      <c r="N293">
        <v>0</v>
      </c>
      <c r="S293">
        <v>12</v>
      </c>
      <c r="U293">
        <v>0.75</v>
      </c>
      <c r="V293">
        <v>0.2</v>
      </c>
      <c r="W293">
        <v>0.31</v>
      </c>
      <c r="X293">
        <v>1</v>
      </c>
      <c r="Y293">
        <v>2.75</v>
      </c>
      <c r="Z293">
        <v>12.5</v>
      </c>
      <c r="AA293">
        <v>5.5</v>
      </c>
      <c r="AB293">
        <v>0.11</v>
      </c>
      <c r="AC293">
        <v>0.76600000000000001</v>
      </c>
      <c r="AK293" t="s">
        <v>98</v>
      </c>
      <c r="AM293" t="s">
        <v>98</v>
      </c>
      <c r="AN293" t="s">
        <v>98</v>
      </c>
      <c r="AO293" t="s">
        <v>98</v>
      </c>
      <c r="AP293" t="s">
        <v>99</v>
      </c>
      <c r="AQ293" t="s">
        <v>102</v>
      </c>
      <c r="AV293" t="s">
        <v>98</v>
      </c>
      <c r="AX293" t="s">
        <v>154</v>
      </c>
      <c r="BF293" t="s">
        <v>1050</v>
      </c>
      <c r="BG293" t="s">
        <v>98</v>
      </c>
      <c r="BH293" t="s">
        <v>98</v>
      </c>
      <c r="BI293" t="s">
        <v>98</v>
      </c>
      <c r="BK293" t="s">
        <v>138</v>
      </c>
      <c r="CB293" t="s">
        <v>154</v>
      </c>
      <c r="CL293" t="s">
        <v>98</v>
      </c>
      <c r="CM293" t="s">
        <v>98</v>
      </c>
      <c r="CN293" t="s">
        <v>349</v>
      </c>
      <c r="CO293" s="1">
        <v>43147</v>
      </c>
      <c r="CP293" s="1">
        <v>43595</v>
      </c>
    </row>
    <row r="294" spans="1:94" x14ac:dyDescent="0.25">
      <c r="A294" s="4" t="s">
        <v>1051</v>
      </c>
      <c r="B294" t="str">
        <f xml:space="preserve"> "" &amp; 706411027420</f>
        <v>706411027420</v>
      </c>
      <c r="C294" t="s">
        <v>786</v>
      </c>
      <c r="D294" t="s">
        <v>1052</v>
      </c>
      <c r="F294" t="s">
        <v>135</v>
      </c>
      <c r="G294">
        <v>1</v>
      </c>
      <c r="H294">
        <v>1</v>
      </c>
      <c r="I294" t="s">
        <v>97</v>
      </c>
      <c r="J294" s="32">
        <v>7</v>
      </c>
      <c r="K294" s="32">
        <v>21</v>
      </c>
      <c r="L294">
        <v>0</v>
      </c>
      <c r="N294">
        <v>0</v>
      </c>
      <c r="S294">
        <v>12</v>
      </c>
      <c r="U294">
        <v>0.75</v>
      </c>
      <c r="V294">
        <v>0.2</v>
      </c>
      <c r="W294">
        <v>0.31</v>
      </c>
      <c r="X294">
        <v>1</v>
      </c>
      <c r="Y294">
        <v>2.75</v>
      </c>
      <c r="Z294">
        <v>12.5</v>
      </c>
      <c r="AA294">
        <v>5.5</v>
      </c>
      <c r="AB294">
        <v>0.11</v>
      </c>
      <c r="AC294">
        <v>0.76600000000000001</v>
      </c>
      <c r="AK294" t="s">
        <v>98</v>
      </c>
      <c r="AM294" t="s">
        <v>98</v>
      </c>
      <c r="AN294" t="s">
        <v>98</v>
      </c>
      <c r="AO294" t="s">
        <v>98</v>
      </c>
      <c r="AP294" t="s">
        <v>99</v>
      </c>
      <c r="AQ294" t="s">
        <v>102</v>
      </c>
      <c r="AV294" t="s">
        <v>98</v>
      </c>
      <c r="AX294" t="s">
        <v>159</v>
      </c>
      <c r="BF294" t="s">
        <v>1053</v>
      </c>
      <c r="BG294" t="s">
        <v>98</v>
      </c>
      <c r="BH294" t="s">
        <v>98</v>
      </c>
      <c r="BI294" t="s">
        <v>98</v>
      </c>
      <c r="BK294" t="s">
        <v>138</v>
      </c>
      <c r="CA294" t="s">
        <v>1033</v>
      </c>
      <c r="CB294" t="s">
        <v>159</v>
      </c>
      <c r="CL294" t="s">
        <v>98</v>
      </c>
      <c r="CM294" t="s">
        <v>98</v>
      </c>
      <c r="CO294" s="1">
        <v>39728</v>
      </c>
      <c r="CP294" s="1">
        <v>43595</v>
      </c>
    </row>
    <row r="295" spans="1:94" x14ac:dyDescent="0.25">
      <c r="A295" s="4" t="s">
        <v>1054</v>
      </c>
      <c r="B295" t="str">
        <f xml:space="preserve"> "" &amp; 706411025488</f>
        <v>706411025488</v>
      </c>
      <c r="C295" t="s">
        <v>786</v>
      </c>
      <c r="D295" t="s">
        <v>1055</v>
      </c>
      <c r="F295" t="s">
        <v>135</v>
      </c>
      <c r="G295">
        <v>1</v>
      </c>
      <c r="H295">
        <v>1</v>
      </c>
      <c r="I295" t="s">
        <v>97</v>
      </c>
      <c r="J295" s="32">
        <v>7</v>
      </c>
      <c r="K295" s="32">
        <v>21</v>
      </c>
      <c r="L295">
        <v>0</v>
      </c>
      <c r="N295">
        <v>0</v>
      </c>
      <c r="S295">
        <v>12</v>
      </c>
      <c r="U295">
        <v>0.75</v>
      </c>
      <c r="V295">
        <v>0.2</v>
      </c>
      <c r="W295">
        <v>0.31</v>
      </c>
      <c r="X295">
        <v>1</v>
      </c>
      <c r="Y295">
        <v>2.75</v>
      </c>
      <c r="Z295">
        <v>12.5</v>
      </c>
      <c r="AA295">
        <v>5.5</v>
      </c>
      <c r="AB295">
        <v>0.11</v>
      </c>
      <c r="AC295">
        <v>0.76600000000000001</v>
      </c>
      <c r="AK295" t="s">
        <v>98</v>
      </c>
      <c r="AM295" t="s">
        <v>98</v>
      </c>
      <c r="AN295" t="s">
        <v>98</v>
      </c>
      <c r="AO295" t="s">
        <v>98</v>
      </c>
      <c r="AP295" t="s">
        <v>99</v>
      </c>
      <c r="AQ295" t="s">
        <v>102</v>
      </c>
      <c r="AV295" t="s">
        <v>98</v>
      </c>
      <c r="AX295" t="s">
        <v>163</v>
      </c>
      <c r="BF295" t="s">
        <v>1056</v>
      </c>
      <c r="BG295" t="s">
        <v>98</v>
      </c>
      <c r="BH295" t="s">
        <v>98</v>
      </c>
      <c r="BI295" t="s">
        <v>98</v>
      </c>
      <c r="BK295" t="s">
        <v>138</v>
      </c>
      <c r="CA295" t="s">
        <v>1033</v>
      </c>
      <c r="CB295" t="s">
        <v>163</v>
      </c>
      <c r="CL295" t="s">
        <v>98</v>
      </c>
      <c r="CM295" t="s">
        <v>98</v>
      </c>
      <c r="CO295" s="1">
        <v>39728</v>
      </c>
      <c r="CP295" s="1">
        <v>43595</v>
      </c>
    </row>
    <row r="296" spans="1:94" x14ac:dyDescent="0.25">
      <c r="A296" s="4" t="s">
        <v>1057</v>
      </c>
      <c r="B296" t="str">
        <f xml:space="preserve"> "" &amp; 706411044557</f>
        <v>706411044557</v>
      </c>
      <c r="C296" t="s">
        <v>786</v>
      </c>
      <c r="D296" t="s">
        <v>1058</v>
      </c>
      <c r="F296" t="s">
        <v>135</v>
      </c>
      <c r="G296">
        <v>1</v>
      </c>
      <c r="H296">
        <v>1</v>
      </c>
      <c r="I296" t="s">
        <v>97</v>
      </c>
      <c r="J296" s="32">
        <v>7</v>
      </c>
      <c r="K296" s="32">
        <v>21</v>
      </c>
      <c r="L296">
        <v>0</v>
      </c>
      <c r="N296">
        <v>0</v>
      </c>
      <c r="S296">
        <v>12</v>
      </c>
      <c r="U296">
        <v>0.75</v>
      </c>
      <c r="V296">
        <v>0.2</v>
      </c>
      <c r="W296">
        <v>0.31</v>
      </c>
      <c r="X296">
        <v>1</v>
      </c>
      <c r="Y296">
        <v>2.75</v>
      </c>
      <c r="Z296">
        <v>12.5</v>
      </c>
      <c r="AA296">
        <v>5.5</v>
      </c>
      <c r="AB296">
        <v>0.11</v>
      </c>
      <c r="AC296">
        <v>0.76600000000000001</v>
      </c>
      <c r="AK296" t="s">
        <v>98</v>
      </c>
      <c r="AM296" t="s">
        <v>98</v>
      </c>
      <c r="AN296" t="s">
        <v>98</v>
      </c>
      <c r="AO296" t="s">
        <v>98</v>
      </c>
      <c r="AP296" t="s">
        <v>99</v>
      </c>
      <c r="AQ296" t="s">
        <v>102</v>
      </c>
      <c r="AV296" t="s">
        <v>98</v>
      </c>
      <c r="AX296" t="s">
        <v>167</v>
      </c>
      <c r="BF296" t="s">
        <v>1059</v>
      </c>
      <c r="BG296" t="s">
        <v>98</v>
      </c>
      <c r="BH296" t="s">
        <v>98</v>
      </c>
      <c r="BI296" t="s">
        <v>98</v>
      </c>
      <c r="CB296" t="s">
        <v>167</v>
      </c>
      <c r="CL296" t="s">
        <v>98</v>
      </c>
      <c r="CM296" t="s">
        <v>98</v>
      </c>
      <c r="CP296" s="1">
        <v>43595</v>
      </c>
    </row>
    <row r="297" spans="1:94" x14ac:dyDescent="0.25">
      <c r="A297" s="4" t="s">
        <v>1060</v>
      </c>
      <c r="B297" t="str">
        <f xml:space="preserve"> "" &amp; 706411043062</f>
        <v>706411043062</v>
      </c>
      <c r="C297" t="s">
        <v>786</v>
      </c>
      <c r="D297" t="s">
        <v>1061</v>
      </c>
      <c r="F297" t="s">
        <v>135</v>
      </c>
      <c r="G297">
        <v>1</v>
      </c>
      <c r="H297">
        <v>1</v>
      </c>
      <c r="I297" t="s">
        <v>97</v>
      </c>
      <c r="J297" s="32">
        <v>7</v>
      </c>
      <c r="K297" s="32">
        <v>21</v>
      </c>
      <c r="L297">
        <v>0</v>
      </c>
      <c r="N297">
        <v>0</v>
      </c>
      <c r="S297">
        <v>12</v>
      </c>
      <c r="U297">
        <v>0.75</v>
      </c>
      <c r="V297">
        <v>0.2</v>
      </c>
      <c r="W297">
        <v>0.31</v>
      </c>
      <c r="X297">
        <v>1</v>
      </c>
      <c r="Y297">
        <v>2.75</v>
      </c>
      <c r="Z297">
        <v>12.5</v>
      </c>
      <c r="AA297">
        <v>5.5</v>
      </c>
      <c r="AB297">
        <v>0.11</v>
      </c>
      <c r="AC297">
        <v>0.76600000000000001</v>
      </c>
      <c r="AK297" t="s">
        <v>98</v>
      </c>
      <c r="AM297" t="s">
        <v>98</v>
      </c>
      <c r="AN297" t="s">
        <v>98</v>
      </c>
      <c r="AO297" t="s">
        <v>98</v>
      </c>
      <c r="AP297" t="s">
        <v>99</v>
      </c>
      <c r="AQ297" t="s">
        <v>102</v>
      </c>
      <c r="AV297" t="s">
        <v>98</v>
      </c>
      <c r="AX297" t="s">
        <v>171</v>
      </c>
      <c r="BF297" t="s">
        <v>1062</v>
      </c>
      <c r="BG297" t="s">
        <v>98</v>
      </c>
      <c r="BH297" t="s">
        <v>98</v>
      </c>
      <c r="BI297" t="s">
        <v>98</v>
      </c>
      <c r="CB297" t="s">
        <v>171</v>
      </c>
      <c r="CL297" t="s">
        <v>98</v>
      </c>
      <c r="CM297" t="s">
        <v>98</v>
      </c>
      <c r="CP297" s="1">
        <v>43595</v>
      </c>
    </row>
    <row r="298" spans="1:94" x14ac:dyDescent="0.25">
      <c r="A298" s="4" t="s">
        <v>1063</v>
      </c>
      <c r="B298" t="str">
        <f xml:space="preserve"> "" &amp; 706411035197</f>
        <v>706411035197</v>
      </c>
      <c r="C298" t="s">
        <v>786</v>
      </c>
      <c r="D298" t="s">
        <v>1064</v>
      </c>
      <c r="F298" t="s">
        <v>135</v>
      </c>
      <c r="G298">
        <v>1</v>
      </c>
      <c r="H298">
        <v>1</v>
      </c>
      <c r="I298" t="s">
        <v>97</v>
      </c>
      <c r="J298" s="32">
        <v>7</v>
      </c>
      <c r="K298" s="32">
        <v>21</v>
      </c>
      <c r="L298">
        <v>0</v>
      </c>
      <c r="N298">
        <v>0</v>
      </c>
      <c r="S298">
        <v>12</v>
      </c>
      <c r="U298">
        <v>0.75</v>
      </c>
      <c r="V298">
        <v>0.2</v>
      </c>
      <c r="W298">
        <v>0.31</v>
      </c>
      <c r="X298">
        <v>1</v>
      </c>
      <c r="Y298">
        <v>2.75</v>
      </c>
      <c r="Z298">
        <v>12.5</v>
      </c>
      <c r="AA298">
        <v>5.5</v>
      </c>
      <c r="AB298">
        <v>0.11</v>
      </c>
      <c r="AC298">
        <v>0.76600000000000001</v>
      </c>
      <c r="AK298" t="s">
        <v>98</v>
      </c>
      <c r="AM298" t="s">
        <v>98</v>
      </c>
      <c r="AN298" t="s">
        <v>98</v>
      </c>
      <c r="AO298" t="s">
        <v>98</v>
      </c>
      <c r="AP298" t="s">
        <v>99</v>
      </c>
      <c r="AQ298" t="s">
        <v>102</v>
      </c>
      <c r="AV298" t="s">
        <v>98</v>
      </c>
      <c r="AX298" t="s">
        <v>175</v>
      </c>
      <c r="BF298" t="s">
        <v>1065</v>
      </c>
      <c r="BG298" t="s">
        <v>98</v>
      </c>
      <c r="BH298" t="s">
        <v>98</v>
      </c>
      <c r="BI298" t="s">
        <v>98</v>
      </c>
      <c r="BK298" t="s">
        <v>138</v>
      </c>
      <c r="CA298" t="s">
        <v>1033</v>
      </c>
      <c r="CB298" t="s">
        <v>175</v>
      </c>
      <c r="CL298" t="s">
        <v>98</v>
      </c>
      <c r="CM298" t="s">
        <v>98</v>
      </c>
      <c r="CO298" s="1">
        <v>39728</v>
      </c>
      <c r="CP298" s="1">
        <v>43595</v>
      </c>
    </row>
    <row r="299" spans="1:94" x14ac:dyDescent="0.25">
      <c r="A299" s="4" t="s">
        <v>1066</v>
      </c>
      <c r="B299" t="str">
        <f xml:space="preserve"> "" &amp; 706411061097</f>
        <v>706411061097</v>
      </c>
      <c r="C299" t="s">
        <v>786</v>
      </c>
      <c r="D299" t="s">
        <v>1067</v>
      </c>
      <c r="F299" t="s">
        <v>135</v>
      </c>
      <c r="G299">
        <v>1</v>
      </c>
      <c r="H299">
        <v>1</v>
      </c>
      <c r="I299" t="s">
        <v>97</v>
      </c>
      <c r="J299" s="32">
        <v>7</v>
      </c>
      <c r="K299" s="32">
        <v>21</v>
      </c>
      <c r="L299">
        <v>0</v>
      </c>
      <c r="N299">
        <v>0</v>
      </c>
      <c r="S299">
        <v>12</v>
      </c>
      <c r="U299">
        <v>0.75</v>
      </c>
      <c r="V299">
        <v>0.2</v>
      </c>
      <c r="W299">
        <v>0.31</v>
      </c>
      <c r="X299">
        <v>1</v>
      </c>
      <c r="Y299">
        <v>2.75</v>
      </c>
      <c r="Z299">
        <v>12.5</v>
      </c>
      <c r="AA299">
        <v>5.5</v>
      </c>
      <c r="AB299">
        <v>0.11</v>
      </c>
      <c r="AC299">
        <v>0.77</v>
      </c>
      <c r="AK299" t="s">
        <v>98</v>
      </c>
      <c r="AM299" t="s">
        <v>98</v>
      </c>
      <c r="AN299" t="s">
        <v>98</v>
      </c>
      <c r="AO299" t="s">
        <v>98</v>
      </c>
      <c r="AP299" t="s">
        <v>99</v>
      </c>
      <c r="AQ299" t="s">
        <v>102</v>
      </c>
      <c r="AV299" t="s">
        <v>98</v>
      </c>
      <c r="AX299" t="s">
        <v>179</v>
      </c>
      <c r="BF299" t="s">
        <v>1068</v>
      </c>
      <c r="BG299" t="s">
        <v>98</v>
      </c>
      <c r="BH299" t="s">
        <v>98</v>
      </c>
      <c r="BI299" t="s">
        <v>98</v>
      </c>
      <c r="BK299" t="s">
        <v>138</v>
      </c>
      <c r="CA299" t="s">
        <v>1033</v>
      </c>
      <c r="CB299" t="s">
        <v>179</v>
      </c>
      <c r="CL299" t="s">
        <v>98</v>
      </c>
      <c r="CM299" t="s">
        <v>98</v>
      </c>
      <c r="CN299" t="s">
        <v>349</v>
      </c>
      <c r="CO299" s="1">
        <v>43396</v>
      </c>
      <c r="CP299" s="1">
        <v>43595</v>
      </c>
    </row>
    <row r="300" spans="1:94" x14ac:dyDescent="0.25">
      <c r="A300" s="4" t="s">
        <v>1069</v>
      </c>
      <c r="B300" t="str">
        <f xml:space="preserve"> "" &amp; 706411035135</f>
        <v>706411035135</v>
      </c>
      <c r="C300" t="s">
        <v>786</v>
      </c>
      <c r="D300" t="s">
        <v>1070</v>
      </c>
      <c r="F300" t="s">
        <v>135</v>
      </c>
      <c r="G300">
        <v>1</v>
      </c>
      <c r="H300">
        <v>1</v>
      </c>
      <c r="I300" t="s">
        <v>97</v>
      </c>
      <c r="J300" s="32">
        <v>7</v>
      </c>
      <c r="K300" s="32">
        <v>21</v>
      </c>
      <c r="L300">
        <v>0</v>
      </c>
      <c r="N300">
        <v>0</v>
      </c>
      <c r="S300">
        <v>12</v>
      </c>
      <c r="U300">
        <v>0.75</v>
      </c>
      <c r="V300">
        <v>0.2</v>
      </c>
      <c r="W300">
        <v>0.31</v>
      </c>
      <c r="X300">
        <v>1</v>
      </c>
      <c r="Y300">
        <v>2.75</v>
      </c>
      <c r="Z300">
        <v>12.5</v>
      </c>
      <c r="AA300">
        <v>5.5</v>
      </c>
      <c r="AB300">
        <v>0.11</v>
      </c>
      <c r="AC300">
        <v>0.76600000000000001</v>
      </c>
      <c r="AK300" t="s">
        <v>98</v>
      </c>
      <c r="AM300" t="s">
        <v>98</v>
      </c>
      <c r="AN300" t="s">
        <v>98</v>
      </c>
      <c r="AO300" t="s">
        <v>98</v>
      </c>
      <c r="AP300" t="s">
        <v>99</v>
      </c>
      <c r="AQ300" t="s">
        <v>102</v>
      </c>
      <c r="AV300" t="s">
        <v>98</v>
      </c>
      <c r="AX300" t="s">
        <v>183</v>
      </c>
      <c r="BF300" t="s">
        <v>1071</v>
      </c>
      <c r="BG300" t="s">
        <v>98</v>
      </c>
      <c r="BH300" t="s">
        <v>98</v>
      </c>
      <c r="BI300" t="s">
        <v>98</v>
      </c>
      <c r="BK300" t="s">
        <v>138</v>
      </c>
      <c r="CA300" t="s">
        <v>1033</v>
      </c>
      <c r="CB300" t="s">
        <v>183</v>
      </c>
      <c r="CL300" t="s">
        <v>98</v>
      </c>
      <c r="CM300" t="s">
        <v>98</v>
      </c>
      <c r="CO300" s="1">
        <v>39728</v>
      </c>
      <c r="CP300" s="1">
        <v>43595</v>
      </c>
    </row>
    <row r="301" spans="1:94" x14ac:dyDescent="0.25">
      <c r="A301" s="4" t="s">
        <v>1072</v>
      </c>
      <c r="B301" t="str">
        <f xml:space="preserve"> "" &amp; 706411031243</f>
        <v>706411031243</v>
      </c>
      <c r="C301" t="s">
        <v>786</v>
      </c>
      <c r="D301" t="s">
        <v>4359</v>
      </c>
      <c r="F301" t="s">
        <v>135</v>
      </c>
      <c r="G301">
        <v>1</v>
      </c>
      <c r="H301">
        <v>1</v>
      </c>
      <c r="I301" t="s">
        <v>97</v>
      </c>
      <c r="J301" s="32">
        <v>7</v>
      </c>
      <c r="K301" s="32">
        <v>21</v>
      </c>
      <c r="L301">
        <v>0</v>
      </c>
      <c r="N301">
        <v>0</v>
      </c>
      <c r="S301">
        <v>12</v>
      </c>
      <c r="U301">
        <v>0.75</v>
      </c>
      <c r="V301">
        <v>0.2</v>
      </c>
      <c r="W301">
        <v>0.31</v>
      </c>
      <c r="X301">
        <v>1</v>
      </c>
      <c r="Y301">
        <v>2.75</v>
      </c>
      <c r="Z301">
        <v>12.5</v>
      </c>
      <c r="AA301">
        <v>5.5</v>
      </c>
      <c r="AB301">
        <v>0.11</v>
      </c>
      <c r="AC301">
        <v>0.76600000000000001</v>
      </c>
      <c r="AK301" t="s">
        <v>98</v>
      </c>
      <c r="AM301" t="s">
        <v>98</v>
      </c>
      <c r="AN301" t="s">
        <v>98</v>
      </c>
      <c r="AO301" t="s">
        <v>98</v>
      </c>
      <c r="AP301" t="s">
        <v>99</v>
      </c>
      <c r="AQ301" t="s">
        <v>102</v>
      </c>
      <c r="AV301" t="s">
        <v>98</v>
      </c>
      <c r="AX301" t="s">
        <v>186</v>
      </c>
      <c r="BF301" t="s">
        <v>1073</v>
      </c>
      <c r="BG301" t="s">
        <v>98</v>
      </c>
      <c r="BH301" t="s">
        <v>98</v>
      </c>
      <c r="BI301" t="s">
        <v>98</v>
      </c>
      <c r="BK301" t="s">
        <v>138</v>
      </c>
      <c r="CA301" t="s">
        <v>1033</v>
      </c>
      <c r="CB301" t="s">
        <v>186</v>
      </c>
      <c r="CL301" t="s">
        <v>98</v>
      </c>
      <c r="CM301" t="s">
        <v>98</v>
      </c>
      <c r="CO301" s="1">
        <v>39728</v>
      </c>
      <c r="CP301" s="1">
        <v>43595</v>
      </c>
    </row>
    <row r="302" spans="1:94" x14ac:dyDescent="0.25">
      <c r="A302" s="4" t="s">
        <v>1074</v>
      </c>
      <c r="B302" t="str">
        <f xml:space="preserve"> "" &amp; 706411038884</f>
        <v>706411038884</v>
      </c>
      <c r="C302" t="s">
        <v>786</v>
      </c>
      <c r="D302" t="s">
        <v>1075</v>
      </c>
      <c r="F302" t="s">
        <v>135</v>
      </c>
      <c r="G302">
        <v>1</v>
      </c>
      <c r="H302">
        <v>1</v>
      </c>
      <c r="I302" t="s">
        <v>97</v>
      </c>
      <c r="J302" s="32">
        <v>7</v>
      </c>
      <c r="K302" s="32">
        <v>21</v>
      </c>
      <c r="L302">
        <v>0</v>
      </c>
      <c r="N302">
        <v>0</v>
      </c>
      <c r="S302">
        <v>12</v>
      </c>
      <c r="U302">
        <v>0.75</v>
      </c>
      <c r="V302">
        <v>0.2</v>
      </c>
      <c r="W302">
        <v>0.31</v>
      </c>
      <c r="X302">
        <v>1</v>
      </c>
      <c r="Y302">
        <v>2.75</v>
      </c>
      <c r="Z302">
        <v>12.5</v>
      </c>
      <c r="AA302">
        <v>5.5</v>
      </c>
      <c r="AB302">
        <v>0.11</v>
      </c>
      <c r="AC302">
        <v>0.76600000000000001</v>
      </c>
      <c r="AK302" t="s">
        <v>98</v>
      </c>
      <c r="AM302" t="s">
        <v>98</v>
      </c>
      <c r="AN302" t="s">
        <v>98</v>
      </c>
      <c r="AO302" t="s">
        <v>98</v>
      </c>
      <c r="AP302" t="s">
        <v>99</v>
      </c>
      <c r="AQ302" t="s">
        <v>102</v>
      </c>
      <c r="AV302" t="s">
        <v>98</v>
      </c>
      <c r="AX302" t="s">
        <v>190</v>
      </c>
      <c r="BF302" t="s">
        <v>1076</v>
      </c>
      <c r="BG302" t="s">
        <v>98</v>
      </c>
      <c r="BH302" t="s">
        <v>98</v>
      </c>
      <c r="BI302" t="s">
        <v>98</v>
      </c>
      <c r="BK302" t="s">
        <v>138</v>
      </c>
      <c r="CA302" t="s">
        <v>1033</v>
      </c>
      <c r="CB302" t="s">
        <v>190</v>
      </c>
      <c r="CL302" t="s">
        <v>98</v>
      </c>
      <c r="CM302" t="s">
        <v>98</v>
      </c>
      <c r="CO302" s="1">
        <v>40247</v>
      </c>
      <c r="CP302" s="1">
        <v>43595</v>
      </c>
    </row>
    <row r="303" spans="1:94" x14ac:dyDescent="0.25">
      <c r="A303" s="4" t="s">
        <v>1077</v>
      </c>
      <c r="B303" t="str">
        <f xml:space="preserve"> "" &amp; 706411028649</f>
        <v>706411028649</v>
      </c>
      <c r="C303" t="s">
        <v>786</v>
      </c>
      <c r="D303" t="s">
        <v>4360</v>
      </c>
      <c r="F303" t="s">
        <v>135</v>
      </c>
      <c r="G303">
        <v>1</v>
      </c>
      <c r="H303">
        <v>1</v>
      </c>
      <c r="I303" t="s">
        <v>97</v>
      </c>
      <c r="J303" s="32">
        <v>7</v>
      </c>
      <c r="K303" s="32">
        <v>21</v>
      </c>
      <c r="L303">
        <v>0</v>
      </c>
      <c r="N303">
        <v>0</v>
      </c>
      <c r="S303">
        <v>12</v>
      </c>
      <c r="U303">
        <v>0.75</v>
      </c>
      <c r="V303">
        <v>0.2</v>
      </c>
      <c r="W303">
        <v>0.31</v>
      </c>
      <c r="X303">
        <v>1</v>
      </c>
      <c r="Y303">
        <v>2.75</v>
      </c>
      <c r="Z303">
        <v>12.5</v>
      </c>
      <c r="AA303">
        <v>5.5</v>
      </c>
      <c r="AB303">
        <v>0.11</v>
      </c>
      <c r="AC303">
        <v>0.76600000000000001</v>
      </c>
      <c r="AK303" t="s">
        <v>98</v>
      </c>
      <c r="AM303" t="s">
        <v>98</v>
      </c>
      <c r="AN303" t="s">
        <v>98</v>
      </c>
      <c r="AO303" t="s">
        <v>98</v>
      </c>
      <c r="AP303" t="s">
        <v>99</v>
      </c>
      <c r="AQ303" t="s">
        <v>102</v>
      </c>
      <c r="AV303" t="s">
        <v>98</v>
      </c>
      <c r="AX303" t="s">
        <v>193</v>
      </c>
      <c r="BF303" t="s">
        <v>1078</v>
      </c>
      <c r="BG303" t="s">
        <v>98</v>
      </c>
      <c r="BH303" t="s">
        <v>98</v>
      </c>
      <c r="BI303" t="s">
        <v>98</v>
      </c>
      <c r="BK303" t="s">
        <v>138</v>
      </c>
      <c r="CA303" t="s">
        <v>1033</v>
      </c>
      <c r="CB303" t="s">
        <v>193</v>
      </c>
      <c r="CL303" t="s">
        <v>98</v>
      </c>
      <c r="CM303" t="s">
        <v>98</v>
      </c>
      <c r="CO303" s="1">
        <v>39728</v>
      </c>
      <c r="CP303" s="1">
        <v>43595</v>
      </c>
    </row>
    <row r="304" spans="1:94" x14ac:dyDescent="0.25">
      <c r="A304" s="4" t="s">
        <v>1079</v>
      </c>
      <c r="B304" t="str">
        <f xml:space="preserve"> "" &amp; 706411052293</f>
        <v>706411052293</v>
      </c>
      <c r="C304" t="s">
        <v>786</v>
      </c>
      <c r="D304" t="s">
        <v>1080</v>
      </c>
      <c r="F304" t="s">
        <v>135</v>
      </c>
      <c r="G304">
        <v>1</v>
      </c>
      <c r="H304">
        <v>1</v>
      </c>
      <c r="I304" t="s">
        <v>97</v>
      </c>
      <c r="J304" s="32">
        <v>7</v>
      </c>
      <c r="K304" s="32">
        <v>21</v>
      </c>
      <c r="L304">
        <v>0</v>
      </c>
      <c r="N304">
        <v>0</v>
      </c>
      <c r="S304">
        <v>12</v>
      </c>
      <c r="U304">
        <v>0.75</v>
      </c>
      <c r="V304">
        <v>0.2</v>
      </c>
      <c r="W304">
        <v>0.31</v>
      </c>
      <c r="X304">
        <v>1</v>
      </c>
      <c r="Y304">
        <v>2.75</v>
      </c>
      <c r="Z304">
        <v>12.5</v>
      </c>
      <c r="AA304">
        <v>5.5</v>
      </c>
      <c r="AB304">
        <v>0.11</v>
      </c>
      <c r="AC304">
        <v>0.76600000000000001</v>
      </c>
      <c r="AK304" t="s">
        <v>98</v>
      </c>
      <c r="AM304" t="s">
        <v>98</v>
      </c>
      <c r="AN304" t="s">
        <v>98</v>
      </c>
      <c r="AO304" t="s">
        <v>98</v>
      </c>
      <c r="AP304" t="s">
        <v>99</v>
      </c>
      <c r="AQ304" t="s">
        <v>102</v>
      </c>
      <c r="AV304" t="s">
        <v>98</v>
      </c>
      <c r="AX304" t="s">
        <v>197</v>
      </c>
      <c r="BF304" t="s">
        <v>1081</v>
      </c>
      <c r="BG304" t="s">
        <v>98</v>
      </c>
      <c r="BH304" t="s">
        <v>98</v>
      </c>
      <c r="BI304" t="s">
        <v>98</v>
      </c>
      <c r="CB304" t="s">
        <v>197</v>
      </c>
      <c r="CL304" t="s">
        <v>98</v>
      </c>
      <c r="CM304" t="s">
        <v>98</v>
      </c>
      <c r="CP304" s="1">
        <v>43595</v>
      </c>
    </row>
    <row r="305" spans="1:94" x14ac:dyDescent="0.25">
      <c r="A305" s="4" t="s">
        <v>1082</v>
      </c>
      <c r="B305" t="str">
        <f xml:space="preserve"> "" &amp; 706411038891</f>
        <v>706411038891</v>
      </c>
      <c r="C305" t="s">
        <v>786</v>
      </c>
      <c r="D305" t="s">
        <v>1083</v>
      </c>
      <c r="F305" t="s">
        <v>135</v>
      </c>
      <c r="G305">
        <v>1</v>
      </c>
      <c r="H305">
        <v>1</v>
      </c>
      <c r="I305" t="s">
        <v>97</v>
      </c>
      <c r="J305" s="32">
        <v>7</v>
      </c>
      <c r="K305" s="32">
        <v>21</v>
      </c>
      <c r="L305">
        <v>0</v>
      </c>
      <c r="N305">
        <v>0</v>
      </c>
      <c r="S305">
        <v>12</v>
      </c>
      <c r="U305">
        <v>0.75</v>
      </c>
      <c r="V305">
        <v>0.2</v>
      </c>
      <c r="W305">
        <v>0.31</v>
      </c>
      <c r="X305">
        <v>1</v>
      </c>
      <c r="Y305">
        <v>2.75</v>
      </c>
      <c r="Z305">
        <v>12.5</v>
      </c>
      <c r="AA305">
        <v>5.5</v>
      </c>
      <c r="AB305">
        <v>0.11</v>
      </c>
      <c r="AC305">
        <v>0.76600000000000001</v>
      </c>
      <c r="AK305" t="s">
        <v>98</v>
      </c>
      <c r="AM305" t="s">
        <v>98</v>
      </c>
      <c r="AN305" t="s">
        <v>98</v>
      </c>
      <c r="AO305" t="s">
        <v>98</v>
      </c>
      <c r="AP305" t="s">
        <v>99</v>
      </c>
      <c r="AQ305" t="s">
        <v>102</v>
      </c>
      <c r="AV305" t="s">
        <v>98</v>
      </c>
      <c r="AX305" t="s">
        <v>201</v>
      </c>
      <c r="BF305" t="s">
        <v>1084</v>
      </c>
      <c r="BG305" t="s">
        <v>98</v>
      </c>
      <c r="BH305" t="s">
        <v>98</v>
      </c>
      <c r="BI305" t="s">
        <v>98</v>
      </c>
      <c r="BK305" t="s">
        <v>138</v>
      </c>
      <c r="CA305" t="s">
        <v>1033</v>
      </c>
      <c r="CB305" t="s">
        <v>201</v>
      </c>
      <c r="CL305" t="s">
        <v>98</v>
      </c>
      <c r="CM305" t="s">
        <v>98</v>
      </c>
      <c r="CO305" s="1">
        <v>40247</v>
      </c>
      <c r="CP305" s="1">
        <v>43595</v>
      </c>
    </row>
    <row r="306" spans="1:94" x14ac:dyDescent="0.25">
      <c r="A306" s="4" t="s">
        <v>1085</v>
      </c>
      <c r="B306" t="str">
        <f xml:space="preserve"> "" &amp; 706411056987</f>
        <v>706411056987</v>
      </c>
      <c r="C306" t="s">
        <v>786</v>
      </c>
      <c r="D306" t="s">
        <v>1086</v>
      </c>
      <c r="F306" t="s">
        <v>135</v>
      </c>
      <c r="G306">
        <v>1</v>
      </c>
      <c r="H306">
        <v>1</v>
      </c>
      <c r="I306" t="s">
        <v>97</v>
      </c>
      <c r="J306" s="32">
        <v>7</v>
      </c>
      <c r="K306" s="32">
        <v>21</v>
      </c>
      <c r="L306">
        <v>0</v>
      </c>
      <c r="N306">
        <v>0</v>
      </c>
      <c r="S306">
        <v>12</v>
      </c>
      <c r="U306">
        <v>0.75</v>
      </c>
      <c r="V306">
        <v>0.2</v>
      </c>
      <c r="W306">
        <v>0.31</v>
      </c>
      <c r="X306">
        <v>1</v>
      </c>
      <c r="Y306">
        <v>2.75</v>
      </c>
      <c r="Z306">
        <v>12.5</v>
      </c>
      <c r="AA306">
        <v>5.5</v>
      </c>
      <c r="AB306">
        <v>0.11</v>
      </c>
      <c r="AC306">
        <v>0.76600000000000001</v>
      </c>
      <c r="AK306" t="s">
        <v>98</v>
      </c>
      <c r="AM306" t="s">
        <v>98</v>
      </c>
      <c r="AN306" t="s">
        <v>98</v>
      </c>
      <c r="AO306" t="s">
        <v>98</v>
      </c>
      <c r="AP306" t="s">
        <v>99</v>
      </c>
      <c r="AQ306" t="s">
        <v>102</v>
      </c>
      <c r="AV306" t="s">
        <v>98</v>
      </c>
      <c r="AX306" t="s">
        <v>859</v>
      </c>
      <c r="BF306" t="s">
        <v>1087</v>
      </c>
      <c r="BG306" t="s">
        <v>98</v>
      </c>
      <c r="BH306" t="s">
        <v>98</v>
      </c>
      <c r="BI306" t="s">
        <v>98</v>
      </c>
      <c r="BK306" t="s">
        <v>138</v>
      </c>
      <c r="CA306" t="s">
        <v>1033</v>
      </c>
      <c r="CB306" t="s">
        <v>859</v>
      </c>
      <c r="CL306" t="s">
        <v>98</v>
      </c>
      <c r="CM306" t="s">
        <v>98</v>
      </c>
      <c r="CO306" s="1">
        <v>43399</v>
      </c>
      <c r="CP306" s="1">
        <v>43595</v>
      </c>
    </row>
    <row r="307" spans="1:94" x14ac:dyDescent="0.25">
      <c r="A307" s="4" t="s">
        <v>1088</v>
      </c>
      <c r="B307" t="str">
        <f xml:space="preserve"> "" &amp; 706411043079</f>
        <v>706411043079</v>
      </c>
      <c r="C307" t="s">
        <v>786</v>
      </c>
      <c r="D307" t="s">
        <v>1089</v>
      </c>
      <c r="F307" t="s">
        <v>135</v>
      </c>
      <c r="G307">
        <v>1</v>
      </c>
      <c r="H307">
        <v>1</v>
      </c>
      <c r="I307" t="s">
        <v>97</v>
      </c>
      <c r="J307" s="32">
        <v>7</v>
      </c>
      <c r="K307" s="32">
        <v>21</v>
      </c>
      <c r="L307">
        <v>0</v>
      </c>
      <c r="N307">
        <v>0</v>
      </c>
      <c r="S307">
        <v>12</v>
      </c>
      <c r="U307">
        <v>0.75</v>
      </c>
      <c r="V307">
        <v>0.2</v>
      </c>
      <c r="W307">
        <v>0.31</v>
      </c>
      <c r="X307">
        <v>1</v>
      </c>
      <c r="Y307">
        <v>2.75</v>
      </c>
      <c r="Z307">
        <v>12.5</v>
      </c>
      <c r="AA307">
        <v>5.5</v>
      </c>
      <c r="AB307">
        <v>0.11</v>
      </c>
      <c r="AC307">
        <v>0.76600000000000001</v>
      </c>
      <c r="AK307" t="s">
        <v>98</v>
      </c>
      <c r="AM307" t="s">
        <v>98</v>
      </c>
      <c r="AN307" t="s">
        <v>98</v>
      </c>
      <c r="AO307" t="s">
        <v>98</v>
      </c>
      <c r="AP307" t="s">
        <v>99</v>
      </c>
      <c r="AQ307" t="s">
        <v>102</v>
      </c>
      <c r="AV307" t="s">
        <v>98</v>
      </c>
      <c r="AX307" t="s">
        <v>205</v>
      </c>
      <c r="BF307" t="s">
        <v>1090</v>
      </c>
      <c r="BG307" t="s">
        <v>98</v>
      </c>
      <c r="BH307" t="s">
        <v>98</v>
      </c>
      <c r="BI307" t="s">
        <v>98</v>
      </c>
      <c r="CA307" t="s">
        <v>1033</v>
      </c>
      <c r="CB307" t="s">
        <v>205</v>
      </c>
      <c r="CL307" t="s">
        <v>98</v>
      </c>
      <c r="CM307" t="s">
        <v>98</v>
      </c>
      <c r="CP307" s="1">
        <v>43630</v>
      </c>
    </row>
    <row r="308" spans="1:94" x14ac:dyDescent="0.25">
      <c r="A308" s="4" t="s">
        <v>1091</v>
      </c>
      <c r="B308" t="str">
        <f xml:space="preserve"> "" &amp; 706411053238</f>
        <v>706411053238</v>
      </c>
      <c r="C308" t="s">
        <v>786</v>
      </c>
      <c r="D308" t="s">
        <v>1092</v>
      </c>
      <c r="F308" t="s">
        <v>135</v>
      </c>
      <c r="G308">
        <v>1</v>
      </c>
      <c r="H308">
        <v>1</v>
      </c>
      <c r="I308" t="s">
        <v>97</v>
      </c>
      <c r="J308" s="32">
        <v>7</v>
      </c>
      <c r="K308" s="32">
        <v>21</v>
      </c>
      <c r="L308">
        <v>0</v>
      </c>
      <c r="N308">
        <v>0</v>
      </c>
      <c r="S308">
        <v>12</v>
      </c>
      <c r="U308">
        <v>0.75</v>
      </c>
      <c r="V308">
        <v>0.2</v>
      </c>
      <c r="W308">
        <v>0.31</v>
      </c>
      <c r="X308">
        <v>1</v>
      </c>
      <c r="Y308">
        <v>2.75</v>
      </c>
      <c r="Z308">
        <v>12.5</v>
      </c>
      <c r="AA308">
        <v>5.5</v>
      </c>
      <c r="AB308">
        <v>0.11</v>
      </c>
      <c r="AC308">
        <v>0.76600000000000001</v>
      </c>
      <c r="AK308" t="s">
        <v>98</v>
      </c>
      <c r="AM308" t="s">
        <v>98</v>
      </c>
      <c r="AN308" t="s">
        <v>98</v>
      </c>
      <c r="AO308" t="s">
        <v>98</v>
      </c>
      <c r="AP308" t="s">
        <v>99</v>
      </c>
      <c r="AQ308" t="s">
        <v>102</v>
      </c>
      <c r="AV308" t="s">
        <v>98</v>
      </c>
      <c r="AX308" t="s">
        <v>371</v>
      </c>
      <c r="BF308" t="s">
        <v>1093</v>
      </c>
      <c r="BG308" t="s">
        <v>98</v>
      </c>
      <c r="BH308" t="s">
        <v>98</v>
      </c>
      <c r="BI308" t="s">
        <v>98</v>
      </c>
      <c r="CB308" t="s">
        <v>371</v>
      </c>
      <c r="CL308" t="s">
        <v>98</v>
      </c>
      <c r="CM308" t="s">
        <v>98</v>
      </c>
      <c r="CP308" s="1">
        <v>43595</v>
      </c>
    </row>
    <row r="309" spans="1:94" x14ac:dyDescent="0.25">
      <c r="A309" s="4" t="s">
        <v>1094</v>
      </c>
      <c r="B309" t="str">
        <f xml:space="preserve"> "" &amp; 706411060526</f>
        <v>706411060526</v>
      </c>
      <c r="C309" t="s">
        <v>786</v>
      </c>
      <c r="D309" t="s">
        <v>4350</v>
      </c>
      <c r="F309" t="s">
        <v>135</v>
      </c>
      <c r="G309">
        <v>1</v>
      </c>
      <c r="H309">
        <v>1</v>
      </c>
      <c r="I309" t="s">
        <v>97</v>
      </c>
      <c r="J309" s="32">
        <v>7</v>
      </c>
      <c r="K309" s="32">
        <v>21</v>
      </c>
      <c r="L309">
        <v>0</v>
      </c>
      <c r="N309">
        <v>0</v>
      </c>
      <c r="S309">
        <v>12</v>
      </c>
      <c r="U309">
        <v>0.75</v>
      </c>
      <c r="V309">
        <v>0.2</v>
      </c>
      <c r="W309">
        <v>0.31</v>
      </c>
      <c r="X309">
        <v>1</v>
      </c>
      <c r="Y309">
        <v>2.75</v>
      </c>
      <c r="Z309">
        <v>12.5</v>
      </c>
      <c r="AA309">
        <v>5.5</v>
      </c>
      <c r="AB309">
        <v>0.11</v>
      </c>
      <c r="AC309">
        <v>0.76600000000000001</v>
      </c>
      <c r="AK309" t="s">
        <v>98</v>
      </c>
      <c r="AM309" t="s">
        <v>98</v>
      </c>
      <c r="AN309" t="s">
        <v>98</v>
      </c>
      <c r="AO309" t="s">
        <v>98</v>
      </c>
      <c r="AP309" t="s">
        <v>99</v>
      </c>
      <c r="AQ309" t="s">
        <v>102</v>
      </c>
      <c r="AV309" t="s">
        <v>98</v>
      </c>
      <c r="AX309" t="s">
        <v>1095</v>
      </c>
      <c r="BF309" t="s">
        <v>1096</v>
      </c>
      <c r="BG309" t="s">
        <v>98</v>
      </c>
      <c r="BH309" t="s">
        <v>98</v>
      </c>
      <c r="BI309" t="s">
        <v>98</v>
      </c>
      <c r="BJ309" t="s">
        <v>291</v>
      </c>
      <c r="BK309" t="s">
        <v>292</v>
      </c>
      <c r="CA309" t="s">
        <v>1033</v>
      </c>
      <c r="CB309" t="s">
        <v>1095</v>
      </c>
      <c r="CL309" t="s">
        <v>98</v>
      </c>
      <c r="CM309" t="s">
        <v>98</v>
      </c>
      <c r="CN309" t="s">
        <v>349</v>
      </c>
      <c r="CO309" s="1">
        <v>43642</v>
      </c>
      <c r="CP309" s="1">
        <v>43648</v>
      </c>
    </row>
    <row r="310" spans="1:94" x14ac:dyDescent="0.25">
      <c r="A310" s="4" t="s">
        <v>1097</v>
      </c>
      <c r="B310" t="str">
        <f xml:space="preserve"> "" &amp; 706411056765</f>
        <v>706411056765</v>
      </c>
      <c r="C310" t="s">
        <v>786</v>
      </c>
      <c r="D310" t="s">
        <v>1098</v>
      </c>
      <c r="F310" t="s">
        <v>135</v>
      </c>
      <c r="G310">
        <v>1</v>
      </c>
      <c r="H310">
        <v>1</v>
      </c>
      <c r="I310" t="s">
        <v>97</v>
      </c>
      <c r="J310" s="32">
        <v>7</v>
      </c>
      <c r="K310" s="32">
        <v>21</v>
      </c>
      <c r="L310">
        <v>0</v>
      </c>
      <c r="N310">
        <v>0</v>
      </c>
      <c r="S310">
        <v>12</v>
      </c>
      <c r="U310">
        <v>0.75</v>
      </c>
      <c r="V310">
        <v>0.2</v>
      </c>
      <c r="W310">
        <v>0.31</v>
      </c>
      <c r="X310">
        <v>1</v>
      </c>
      <c r="Y310">
        <v>2.75</v>
      </c>
      <c r="Z310">
        <v>12.5</v>
      </c>
      <c r="AA310">
        <v>5.5</v>
      </c>
      <c r="AB310">
        <v>0.11</v>
      </c>
      <c r="AC310">
        <v>0.76600000000000001</v>
      </c>
      <c r="AK310" t="s">
        <v>98</v>
      </c>
      <c r="AM310" t="s">
        <v>98</v>
      </c>
      <c r="AN310" t="s">
        <v>98</v>
      </c>
      <c r="AO310" t="s">
        <v>98</v>
      </c>
      <c r="AP310" t="s">
        <v>99</v>
      </c>
      <c r="AQ310" t="s">
        <v>102</v>
      </c>
      <c r="AV310" t="s">
        <v>98</v>
      </c>
      <c r="AX310" t="s">
        <v>209</v>
      </c>
      <c r="BF310" t="s">
        <v>1099</v>
      </c>
      <c r="BG310" t="s">
        <v>98</v>
      </c>
      <c r="BH310" t="s">
        <v>98</v>
      </c>
      <c r="BI310" t="s">
        <v>98</v>
      </c>
      <c r="BK310" t="s">
        <v>138</v>
      </c>
      <c r="CB310" t="s">
        <v>209</v>
      </c>
      <c r="CL310" t="s">
        <v>98</v>
      </c>
      <c r="CM310" t="s">
        <v>98</v>
      </c>
      <c r="CN310" t="s">
        <v>349</v>
      </c>
      <c r="CO310" s="1">
        <v>43147</v>
      </c>
      <c r="CP310" s="1">
        <v>43595</v>
      </c>
    </row>
    <row r="311" spans="1:94" x14ac:dyDescent="0.25">
      <c r="A311" s="4" t="s">
        <v>1100</v>
      </c>
      <c r="B311" t="str">
        <f xml:space="preserve"> "" &amp; 706411025631</f>
        <v>706411025631</v>
      </c>
      <c r="C311" t="s">
        <v>786</v>
      </c>
      <c r="D311" t="s">
        <v>4361</v>
      </c>
      <c r="F311" t="s">
        <v>135</v>
      </c>
      <c r="G311">
        <v>1</v>
      </c>
      <c r="H311">
        <v>1</v>
      </c>
      <c r="I311" t="s">
        <v>97</v>
      </c>
      <c r="J311" s="32">
        <v>7</v>
      </c>
      <c r="K311" s="32">
        <v>21</v>
      </c>
      <c r="L311">
        <v>0</v>
      </c>
      <c r="N311">
        <v>0</v>
      </c>
      <c r="S311">
        <v>12</v>
      </c>
      <c r="U311">
        <v>0.75</v>
      </c>
      <c r="V311">
        <v>0.2</v>
      </c>
      <c r="W311">
        <v>0.31</v>
      </c>
      <c r="X311">
        <v>1</v>
      </c>
      <c r="Y311">
        <v>2.75</v>
      </c>
      <c r="Z311">
        <v>12.5</v>
      </c>
      <c r="AA311">
        <v>5.5</v>
      </c>
      <c r="AB311">
        <v>0.11</v>
      </c>
      <c r="AC311">
        <v>0.76600000000000001</v>
      </c>
      <c r="AK311" t="s">
        <v>98</v>
      </c>
      <c r="AM311" t="s">
        <v>98</v>
      </c>
      <c r="AN311" t="s">
        <v>98</v>
      </c>
      <c r="AO311" t="s">
        <v>98</v>
      </c>
      <c r="AP311" t="s">
        <v>99</v>
      </c>
      <c r="AQ311" t="s">
        <v>102</v>
      </c>
      <c r="AV311" t="s">
        <v>98</v>
      </c>
      <c r="AX311" t="s">
        <v>212</v>
      </c>
      <c r="BF311" t="s">
        <v>1101</v>
      </c>
      <c r="BG311" t="s">
        <v>98</v>
      </c>
      <c r="BH311" t="s">
        <v>98</v>
      </c>
      <c r="BI311" t="s">
        <v>98</v>
      </c>
      <c r="BK311" t="s">
        <v>138</v>
      </c>
      <c r="CA311" t="s">
        <v>1033</v>
      </c>
      <c r="CB311" t="s">
        <v>212</v>
      </c>
      <c r="CL311" t="s">
        <v>98</v>
      </c>
      <c r="CM311" t="s">
        <v>98</v>
      </c>
      <c r="CO311" s="1">
        <v>39728</v>
      </c>
      <c r="CP311" s="1">
        <v>43595</v>
      </c>
    </row>
    <row r="312" spans="1:94" x14ac:dyDescent="0.25">
      <c r="A312" s="4" t="s">
        <v>1102</v>
      </c>
      <c r="B312" t="str">
        <f xml:space="preserve"> "" &amp; 706411035111</f>
        <v>706411035111</v>
      </c>
      <c r="C312" t="s">
        <v>786</v>
      </c>
      <c r="D312" t="s">
        <v>4362</v>
      </c>
      <c r="F312" t="s">
        <v>135</v>
      </c>
      <c r="G312">
        <v>1</v>
      </c>
      <c r="H312">
        <v>1</v>
      </c>
      <c r="I312" t="s">
        <v>97</v>
      </c>
      <c r="J312" s="32">
        <v>7</v>
      </c>
      <c r="K312" s="32">
        <v>21</v>
      </c>
      <c r="L312">
        <v>0</v>
      </c>
      <c r="N312">
        <v>0</v>
      </c>
      <c r="S312">
        <v>12</v>
      </c>
      <c r="U312">
        <v>0.75</v>
      </c>
      <c r="V312">
        <v>0.2</v>
      </c>
      <c r="W312">
        <v>0.31</v>
      </c>
      <c r="X312">
        <v>1</v>
      </c>
      <c r="Y312">
        <v>2.75</v>
      </c>
      <c r="Z312">
        <v>12.5</v>
      </c>
      <c r="AA312">
        <v>5.5</v>
      </c>
      <c r="AB312">
        <v>0.11</v>
      </c>
      <c r="AC312">
        <v>0.76600000000000001</v>
      </c>
      <c r="AK312" t="s">
        <v>98</v>
      </c>
      <c r="AM312" t="s">
        <v>98</v>
      </c>
      <c r="AN312" t="s">
        <v>98</v>
      </c>
      <c r="AO312" t="s">
        <v>98</v>
      </c>
      <c r="AP312" t="s">
        <v>99</v>
      </c>
      <c r="AQ312" t="s">
        <v>102</v>
      </c>
      <c r="AV312" t="s">
        <v>98</v>
      </c>
      <c r="AX312" t="s">
        <v>215</v>
      </c>
      <c r="BF312" t="s">
        <v>1103</v>
      </c>
      <c r="BG312" t="s">
        <v>98</v>
      </c>
      <c r="BH312" t="s">
        <v>98</v>
      </c>
      <c r="BI312" t="s">
        <v>98</v>
      </c>
      <c r="BK312" t="s">
        <v>138</v>
      </c>
      <c r="CA312" t="s">
        <v>1033</v>
      </c>
      <c r="CB312" t="s">
        <v>215</v>
      </c>
      <c r="CL312" t="s">
        <v>98</v>
      </c>
      <c r="CM312" t="s">
        <v>98</v>
      </c>
      <c r="CO312" s="1">
        <v>39728</v>
      </c>
      <c r="CP312" s="1">
        <v>43595</v>
      </c>
    </row>
    <row r="313" spans="1:94" x14ac:dyDescent="0.25">
      <c r="A313" s="4" t="s">
        <v>1104</v>
      </c>
      <c r="B313" t="str">
        <f xml:space="preserve"> "" &amp; 706411043086</f>
        <v>706411043086</v>
      </c>
      <c r="C313" t="s">
        <v>786</v>
      </c>
      <c r="D313" t="s">
        <v>1105</v>
      </c>
      <c r="F313" t="s">
        <v>135</v>
      </c>
      <c r="G313">
        <v>1</v>
      </c>
      <c r="H313">
        <v>1</v>
      </c>
      <c r="I313" t="s">
        <v>97</v>
      </c>
      <c r="J313" s="32">
        <v>7</v>
      </c>
      <c r="K313" s="32">
        <v>21</v>
      </c>
      <c r="L313">
        <v>0</v>
      </c>
      <c r="N313">
        <v>0</v>
      </c>
      <c r="S313">
        <v>12</v>
      </c>
      <c r="U313">
        <v>0.75</v>
      </c>
      <c r="V313">
        <v>0.2</v>
      </c>
      <c r="W313">
        <v>0.31</v>
      </c>
      <c r="X313">
        <v>1</v>
      </c>
      <c r="Y313">
        <v>2.75</v>
      </c>
      <c r="Z313">
        <v>12.5</v>
      </c>
      <c r="AA313">
        <v>5.5</v>
      </c>
      <c r="AB313">
        <v>0.11</v>
      </c>
      <c r="AC313">
        <v>7.67</v>
      </c>
      <c r="AK313" t="s">
        <v>98</v>
      </c>
      <c r="AM313" t="s">
        <v>98</v>
      </c>
      <c r="AN313" t="s">
        <v>98</v>
      </c>
      <c r="AO313" t="s">
        <v>98</v>
      </c>
      <c r="AP313" t="s">
        <v>99</v>
      </c>
      <c r="AQ313" t="s">
        <v>102</v>
      </c>
      <c r="AV313" t="s">
        <v>98</v>
      </c>
      <c r="AX313" t="s">
        <v>219</v>
      </c>
      <c r="AZ313" t="s">
        <v>109</v>
      </c>
      <c r="BF313" t="s">
        <v>1106</v>
      </c>
      <c r="BG313" t="s">
        <v>98</v>
      </c>
      <c r="BH313" t="s">
        <v>98</v>
      </c>
      <c r="BI313" t="s">
        <v>98</v>
      </c>
      <c r="BJ313" t="s">
        <v>291</v>
      </c>
      <c r="BK313" t="s">
        <v>292</v>
      </c>
      <c r="CA313" t="s">
        <v>1033</v>
      </c>
      <c r="CB313" t="s">
        <v>219</v>
      </c>
      <c r="CL313" t="s">
        <v>98</v>
      </c>
      <c r="CM313" t="s">
        <v>98</v>
      </c>
      <c r="CN313" t="s">
        <v>349</v>
      </c>
      <c r="CO313" s="1">
        <v>42599</v>
      </c>
      <c r="CP313" s="1">
        <v>43595</v>
      </c>
    </row>
    <row r="314" spans="1:94" x14ac:dyDescent="0.25">
      <c r="A314" s="4" t="s">
        <v>1107</v>
      </c>
      <c r="B314" t="str">
        <f xml:space="preserve"> "" &amp; 706411033490</f>
        <v>706411033490</v>
      </c>
      <c r="C314" t="s">
        <v>786</v>
      </c>
      <c r="D314" t="s">
        <v>1108</v>
      </c>
      <c r="F314" t="s">
        <v>135</v>
      </c>
      <c r="G314">
        <v>1</v>
      </c>
      <c r="H314">
        <v>1</v>
      </c>
      <c r="I314" t="s">
        <v>97</v>
      </c>
      <c r="J314" s="32">
        <v>7</v>
      </c>
      <c r="K314" s="32">
        <v>21</v>
      </c>
      <c r="L314">
        <v>0</v>
      </c>
      <c r="N314">
        <v>0</v>
      </c>
      <c r="S314">
        <v>12</v>
      </c>
      <c r="U314">
        <v>0.75</v>
      </c>
      <c r="V314">
        <v>0.2</v>
      </c>
      <c r="W314">
        <v>0.31</v>
      </c>
      <c r="X314">
        <v>1</v>
      </c>
      <c r="Y314">
        <v>2.75</v>
      </c>
      <c r="Z314">
        <v>12.5</v>
      </c>
      <c r="AA314">
        <v>5.5</v>
      </c>
      <c r="AB314">
        <v>0.11</v>
      </c>
      <c r="AC314">
        <v>0.76600000000000001</v>
      </c>
      <c r="AK314" t="s">
        <v>98</v>
      </c>
      <c r="AM314" t="s">
        <v>98</v>
      </c>
      <c r="AN314" t="s">
        <v>98</v>
      </c>
      <c r="AO314" t="s">
        <v>98</v>
      </c>
      <c r="AP314" t="s">
        <v>99</v>
      </c>
      <c r="AQ314" t="s">
        <v>102</v>
      </c>
      <c r="AV314" t="s">
        <v>98</v>
      </c>
      <c r="AX314" t="s">
        <v>223</v>
      </c>
      <c r="BF314" t="s">
        <v>1109</v>
      </c>
      <c r="BG314" t="s">
        <v>98</v>
      </c>
      <c r="BH314" t="s">
        <v>98</v>
      </c>
      <c r="BI314" t="s">
        <v>98</v>
      </c>
      <c r="BK314" t="s">
        <v>138</v>
      </c>
      <c r="CA314" t="s">
        <v>1033</v>
      </c>
      <c r="CB314" t="s">
        <v>223</v>
      </c>
      <c r="CL314" t="s">
        <v>98</v>
      </c>
      <c r="CM314" t="s">
        <v>98</v>
      </c>
      <c r="CO314" s="1">
        <v>39728</v>
      </c>
      <c r="CP314" s="1">
        <v>43595</v>
      </c>
    </row>
    <row r="315" spans="1:94" x14ac:dyDescent="0.25">
      <c r="A315" s="4" t="s">
        <v>1110</v>
      </c>
      <c r="B315" t="str">
        <f xml:space="preserve"> "" &amp; 706411038914</f>
        <v>706411038914</v>
      </c>
      <c r="C315" t="s">
        <v>786</v>
      </c>
      <c r="D315" t="s">
        <v>1111</v>
      </c>
      <c r="F315" t="s">
        <v>135</v>
      </c>
      <c r="G315">
        <v>1</v>
      </c>
      <c r="H315">
        <v>1</v>
      </c>
      <c r="I315" t="s">
        <v>97</v>
      </c>
      <c r="J315" s="32">
        <v>7</v>
      </c>
      <c r="K315" s="32">
        <v>21</v>
      </c>
      <c r="L315">
        <v>0</v>
      </c>
      <c r="N315">
        <v>0</v>
      </c>
      <c r="S315">
        <v>12</v>
      </c>
      <c r="U315">
        <v>0.75</v>
      </c>
      <c r="V315">
        <v>0.2</v>
      </c>
      <c r="W315">
        <v>0.31</v>
      </c>
      <c r="X315">
        <v>1</v>
      </c>
      <c r="Y315">
        <v>2.75</v>
      </c>
      <c r="Z315">
        <v>12.5</v>
      </c>
      <c r="AA315">
        <v>5.5</v>
      </c>
      <c r="AB315">
        <v>0.11</v>
      </c>
      <c r="AC315">
        <v>0.76600000000000001</v>
      </c>
      <c r="AK315" t="s">
        <v>98</v>
      </c>
      <c r="AM315" t="s">
        <v>98</v>
      </c>
      <c r="AN315" t="s">
        <v>98</v>
      </c>
      <c r="AO315" t="s">
        <v>98</v>
      </c>
      <c r="AP315" t="s">
        <v>99</v>
      </c>
      <c r="AQ315" t="s">
        <v>102</v>
      </c>
      <c r="AV315" t="s">
        <v>98</v>
      </c>
      <c r="AX315" t="s">
        <v>227</v>
      </c>
      <c r="BF315" t="s">
        <v>1112</v>
      </c>
      <c r="BG315" t="s">
        <v>98</v>
      </c>
      <c r="BH315" t="s">
        <v>98</v>
      </c>
      <c r="BI315" t="s">
        <v>98</v>
      </c>
      <c r="BK315" t="s">
        <v>138</v>
      </c>
      <c r="CA315" t="s">
        <v>1033</v>
      </c>
      <c r="CB315" t="s">
        <v>227</v>
      </c>
      <c r="CL315" t="s">
        <v>98</v>
      </c>
      <c r="CM315" t="s">
        <v>98</v>
      </c>
      <c r="CO315" s="1">
        <v>40247</v>
      </c>
      <c r="CP315" s="1">
        <v>43595</v>
      </c>
    </row>
    <row r="316" spans="1:94" x14ac:dyDescent="0.25">
      <c r="A316" s="4" t="s">
        <v>1113</v>
      </c>
      <c r="B316" t="str">
        <f xml:space="preserve"> "" &amp; 706411027321</f>
        <v>706411027321</v>
      </c>
      <c r="C316" t="s">
        <v>786</v>
      </c>
      <c r="D316" t="s">
        <v>1114</v>
      </c>
      <c r="F316" t="s">
        <v>135</v>
      </c>
      <c r="G316">
        <v>1</v>
      </c>
      <c r="H316">
        <v>1</v>
      </c>
      <c r="I316" t="s">
        <v>97</v>
      </c>
      <c r="J316" s="32">
        <v>7</v>
      </c>
      <c r="K316" s="32">
        <v>21</v>
      </c>
      <c r="L316">
        <v>0</v>
      </c>
      <c r="N316">
        <v>0</v>
      </c>
      <c r="S316">
        <v>12</v>
      </c>
      <c r="U316">
        <v>0.75</v>
      </c>
      <c r="V316">
        <v>0.2</v>
      </c>
      <c r="W316">
        <v>0.31</v>
      </c>
      <c r="X316">
        <v>1</v>
      </c>
      <c r="Y316">
        <v>2.75</v>
      </c>
      <c r="Z316">
        <v>12.5</v>
      </c>
      <c r="AA316">
        <v>5.5</v>
      </c>
      <c r="AB316">
        <v>0.11</v>
      </c>
      <c r="AC316">
        <v>0.76600000000000001</v>
      </c>
      <c r="AK316" t="s">
        <v>98</v>
      </c>
      <c r="AM316" t="s">
        <v>98</v>
      </c>
      <c r="AN316" t="s">
        <v>98</v>
      </c>
      <c r="AO316" t="s">
        <v>98</v>
      </c>
      <c r="AP316" t="s">
        <v>99</v>
      </c>
      <c r="AQ316" t="s">
        <v>102</v>
      </c>
      <c r="AV316" t="s">
        <v>98</v>
      </c>
      <c r="AX316" t="s">
        <v>231</v>
      </c>
      <c r="BF316" t="s">
        <v>1115</v>
      </c>
      <c r="BG316" t="s">
        <v>98</v>
      </c>
      <c r="BH316" t="s">
        <v>98</v>
      </c>
      <c r="BI316" t="s">
        <v>98</v>
      </c>
      <c r="BK316" t="s">
        <v>138</v>
      </c>
      <c r="CA316" t="s">
        <v>1033</v>
      </c>
      <c r="CB316" t="s">
        <v>231</v>
      </c>
      <c r="CL316" t="s">
        <v>98</v>
      </c>
      <c r="CM316" t="s">
        <v>98</v>
      </c>
      <c r="CO316" s="1">
        <v>39728</v>
      </c>
      <c r="CP316" s="1">
        <v>43595</v>
      </c>
    </row>
    <row r="317" spans="1:94" x14ac:dyDescent="0.25">
      <c r="A317" s="4" t="s">
        <v>1116</v>
      </c>
      <c r="B317" t="str">
        <f xml:space="preserve"> "" &amp; 706411027239</f>
        <v>706411027239</v>
      </c>
      <c r="C317" t="s">
        <v>786</v>
      </c>
      <c r="D317" t="s">
        <v>1117</v>
      </c>
      <c r="F317" t="s">
        <v>135</v>
      </c>
      <c r="G317">
        <v>1</v>
      </c>
      <c r="H317">
        <v>1</v>
      </c>
      <c r="I317" t="s">
        <v>97</v>
      </c>
      <c r="J317" s="32">
        <v>7</v>
      </c>
      <c r="K317" s="32">
        <v>21</v>
      </c>
      <c r="L317">
        <v>0</v>
      </c>
      <c r="N317">
        <v>0</v>
      </c>
      <c r="S317">
        <v>12</v>
      </c>
      <c r="U317">
        <v>0.75</v>
      </c>
      <c r="V317">
        <v>0.2</v>
      </c>
      <c r="W317">
        <v>0.31</v>
      </c>
      <c r="X317">
        <v>1</v>
      </c>
      <c r="Y317">
        <v>2.75</v>
      </c>
      <c r="Z317">
        <v>12.5</v>
      </c>
      <c r="AA317">
        <v>5.5</v>
      </c>
      <c r="AB317">
        <v>0.11</v>
      </c>
      <c r="AC317">
        <v>0.76600000000000001</v>
      </c>
      <c r="AK317" t="s">
        <v>98</v>
      </c>
      <c r="AM317" t="s">
        <v>98</v>
      </c>
      <c r="AN317" t="s">
        <v>98</v>
      </c>
      <c r="AO317" t="s">
        <v>98</v>
      </c>
      <c r="AP317" t="s">
        <v>99</v>
      </c>
      <c r="AQ317" t="s">
        <v>102</v>
      </c>
      <c r="AV317" t="s">
        <v>98</v>
      </c>
      <c r="AX317" t="s">
        <v>235</v>
      </c>
      <c r="BF317" t="s">
        <v>1118</v>
      </c>
      <c r="BG317" t="s">
        <v>98</v>
      </c>
      <c r="BH317" t="s">
        <v>98</v>
      </c>
      <c r="BI317" t="s">
        <v>98</v>
      </c>
      <c r="BK317" t="s">
        <v>138</v>
      </c>
      <c r="CA317" t="s">
        <v>1033</v>
      </c>
      <c r="CB317" t="s">
        <v>235</v>
      </c>
      <c r="CL317" t="s">
        <v>98</v>
      </c>
      <c r="CM317" t="s">
        <v>98</v>
      </c>
      <c r="CO317" s="1">
        <v>39728</v>
      </c>
      <c r="CP317" s="1">
        <v>43595</v>
      </c>
    </row>
    <row r="318" spans="1:94" x14ac:dyDescent="0.25">
      <c r="A318" s="4" t="s">
        <v>1119</v>
      </c>
      <c r="B318" t="str">
        <f xml:space="preserve"> "" &amp; 706411035159</f>
        <v>706411035159</v>
      </c>
      <c r="C318" t="s">
        <v>786</v>
      </c>
      <c r="D318" t="s">
        <v>4363</v>
      </c>
      <c r="F318" t="s">
        <v>135</v>
      </c>
      <c r="G318">
        <v>1</v>
      </c>
      <c r="H318">
        <v>1</v>
      </c>
      <c r="I318" t="s">
        <v>97</v>
      </c>
      <c r="J318" s="32">
        <v>7</v>
      </c>
      <c r="K318" s="32">
        <v>21</v>
      </c>
      <c r="L318">
        <v>0</v>
      </c>
      <c r="N318">
        <v>0</v>
      </c>
      <c r="S318">
        <v>12</v>
      </c>
      <c r="U318">
        <v>0.75</v>
      </c>
      <c r="V318">
        <v>0.2</v>
      </c>
      <c r="W318">
        <v>0.31</v>
      </c>
      <c r="X318">
        <v>1</v>
      </c>
      <c r="Y318">
        <v>2.75</v>
      </c>
      <c r="Z318">
        <v>12.5</v>
      </c>
      <c r="AA318">
        <v>5.5</v>
      </c>
      <c r="AB318">
        <v>0.11</v>
      </c>
      <c r="AC318">
        <v>0.76600000000000001</v>
      </c>
      <c r="AK318" t="s">
        <v>98</v>
      </c>
      <c r="AM318" t="s">
        <v>98</v>
      </c>
      <c r="AN318" t="s">
        <v>98</v>
      </c>
      <c r="AO318" t="s">
        <v>98</v>
      </c>
      <c r="AP318" t="s">
        <v>99</v>
      </c>
      <c r="AQ318" t="s">
        <v>102</v>
      </c>
      <c r="AV318" t="s">
        <v>98</v>
      </c>
      <c r="AX318" t="s">
        <v>238</v>
      </c>
      <c r="BF318" t="s">
        <v>1120</v>
      </c>
      <c r="BG318" t="s">
        <v>98</v>
      </c>
      <c r="BH318" t="s">
        <v>98</v>
      </c>
      <c r="BI318" t="s">
        <v>98</v>
      </c>
      <c r="BK318" t="s">
        <v>138</v>
      </c>
      <c r="CA318" t="s">
        <v>1033</v>
      </c>
      <c r="CB318" t="s">
        <v>238</v>
      </c>
      <c r="CL318" t="s">
        <v>98</v>
      </c>
      <c r="CM318" t="s">
        <v>98</v>
      </c>
      <c r="CO318" s="1">
        <v>39728</v>
      </c>
      <c r="CP318" s="1">
        <v>43595</v>
      </c>
    </row>
    <row r="319" spans="1:94" x14ac:dyDescent="0.25">
      <c r="A319" s="4" t="s">
        <v>1121</v>
      </c>
      <c r="B319" t="str">
        <f xml:space="preserve"> "" &amp; 706411053139</f>
        <v>706411053139</v>
      </c>
      <c r="C319" t="s">
        <v>786</v>
      </c>
      <c r="D319" t="s">
        <v>1122</v>
      </c>
      <c r="F319" t="s">
        <v>135</v>
      </c>
      <c r="G319">
        <v>1</v>
      </c>
      <c r="H319">
        <v>1</v>
      </c>
      <c r="I319" t="s">
        <v>97</v>
      </c>
      <c r="J319" s="32">
        <v>7</v>
      </c>
      <c r="K319" s="32">
        <v>21</v>
      </c>
      <c r="L319">
        <v>0</v>
      </c>
      <c r="N319">
        <v>0</v>
      </c>
      <c r="S319">
        <v>12</v>
      </c>
      <c r="U319">
        <v>0.75</v>
      </c>
      <c r="V319">
        <v>0.2</v>
      </c>
      <c r="W319">
        <v>0.31</v>
      </c>
      <c r="X319">
        <v>1</v>
      </c>
      <c r="Y319">
        <v>2.75</v>
      </c>
      <c r="Z319">
        <v>12.5</v>
      </c>
      <c r="AA319">
        <v>5.5</v>
      </c>
      <c r="AB319">
        <v>0.11</v>
      </c>
      <c r="AC319">
        <v>0.76600000000000001</v>
      </c>
      <c r="AK319" t="s">
        <v>98</v>
      </c>
      <c r="AM319" t="s">
        <v>98</v>
      </c>
      <c r="AN319" t="s">
        <v>98</v>
      </c>
      <c r="AO319" t="s">
        <v>98</v>
      </c>
      <c r="AP319" t="s">
        <v>99</v>
      </c>
      <c r="AQ319" t="s">
        <v>102</v>
      </c>
      <c r="AV319" t="s">
        <v>98</v>
      </c>
      <c r="BF319" t="s">
        <v>1123</v>
      </c>
      <c r="BG319" t="s">
        <v>98</v>
      </c>
      <c r="BH319" t="s">
        <v>98</v>
      </c>
      <c r="BI319" t="s">
        <v>98</v>
      </c>
      <c r="CL319" t="s">
        <v>98</v>
      </c>
      <c r="CM319" t="s">
        <v>98</v>
      </c>
      <c r="CP319" s="1">
        <v>43595</v>
      </c>
    </row>
    <row r="320" spans="1:94" x14ac:dyDescent="0.25">
      <c r="A320" s="4" t="s">
        <v>1124</v>
      </c>
      <c r="B320" t="str">
        <f xml:space="preserve"> "" &amp; 706411009846</f>
        <v>706411009846</v>
      </c>
      <c r="C320" t="s">
        <v>786</v>
      </c>
      <c r="D320" t="s">
        <v>1125</v>
      </c>
      <c r="F320" t="s">
        <v>135</v>
      </c>
      <c r="G320">
        <v>1</v>
      </c>
      <c r="H320">
        <v>1</v>
      </c>
      <c r="I320" t="s">
        <v>97</v>
      </c>
      <c r="J320" s="32">
        <v>7</v>
      </c>
      <c r="K320" s="32">
        <v>21</v>
      </c>
      <c r="L320">
        <v>0</v>
      </c>
      <c r="N320">
        <v>0</v>
      </c>
      <c r="S320">
        <v>12</v>
      </c>
      <c r="U320">
        <v>0.75</v>
      </c>
      <c r="V320">
        <v>0.2</v>
      </c>
      <c r="W320">
        <v>0.31</v>
      </c>
      <c r="X320">
        <v>1</v>
      </c>
      <c r="Y320">
        <v>2.75</v>
      </c>
      <c r="Z320">
        <v>12.5</v>
      </c>
      <c r="AA320">
        <v>5.5</v>
      </c>
      <c r="AB320">
        <v>0.11</v>
      </c>
      <c r="AC320">
        <v>0.76600000000000001</v>
      </c>
      <c r="AK320" t="s">
        <v>98</v>
      </c>
      <c r="AM320" t="s">
        <v>98</v>
      </c>
      <c r="AN320" t="s">
        <v>98</v>
      </c>
      <c r="AO320" t="s">
        <v>98</v>
      </c>
      <c r="AP320" t="s">
        <v>99</v>
      </c>
      <c r="AQ320" t="s">
        <v>102</v>
      </c>
      <c r="AV320" t="s">
        <v>98</v>
      </c>
      <c r="AX320" t="s">
        <v>245</v>
      </c>
      <c r="BF320" t="s">
        <v>1126</v>
      </c>
      <c r="BG320" t="s">
        <v>98</v>
      </c>
      <c r="BH320" t="s">
        <v>98</v>
      </c>
      <c r="BI320" t="s">
        <v>98</v>
      </c>
      <c r="CB320" t="s">
        <v>245</v>
      </c>
      <c r="CL320" t="s">
        <v>98</v>
      </c>
      <c r="CM320" t="s">
        <v>98</v>
      </c>
      <c r="CN320" t="s">
        <v>349</v>
      </c>
      <c r="CP320" s="1">
        <v>43595</v>
      </c>
    </row>
    <row r="321" spans="1:94" x14ac:dyDescent="0.25">
      <c r="A321" s="4" t="s">
        <v>1127</v>
      </c>
      <c r="B321" t="str">
        <f xml:space="preserve"> "" &amp; 706411039508</f>
        <v>706411039508</v>
      </c>
      <c r="C321" t="s">
        <v>786</v>
      </c>
      <c r="D321" t="s">
        <v>1128</v>
      </c>
      <c r="F321" t="s">
        <v>135</v>
      </c>
      <c r="G321">
        <v>1</v>
      </c>
      <c r="H321">
        <v>1</v>
      </c>
      <c r="I321" t="s">
        <v>97</v>
      </c>
      <c r="J321" s="32">
        <v>7</v>
      </c>
      <c r="K321" s="32">
        <v>21</v>
      </c>
      <c r="L321">
        <v>0</v>
      </c>
      <c r="N321">
        <v>0</v>
      </c>
      <c r="S321">
        <v>12</v>
      </c>
      <c r="U321">
        <v>0.75</v>
      </c>
      <c r="V321">
        <v>0.2</v>
      </c>
      <c r="W321">
        <v>0.31</v>
      </c>
      <c r="X321">
        <v>1</v>
      </c>
      <c r="Y321">
        <v>2.75</v>
      </c>
      <c r="Z321">
        <v>12.5</v>
      </c>
      <c r="AA321">
        <v>5.5</v>
      </c>
      <c r="AB321">
        <v>0.11</v>
      </c>
      <c r="AC321">
        <v>0.76600000000000001</v>
      </c>
      <c r="AK321" t="s">
        <v>98</v>
      </c>
      <c r="AM321" t="s">
        <v>98</v>
      </c>
      <c r="AN321" t="s">
        <v>98</v>
      </c>
      <c r="AO321" t="s">
        <v>98</v>
      </c>
      <c r="AP321" t="s">
        <v>99</v>
      </c>
      <c r="AQ321" t="s">
        <v>102</v>
      </c>
      <c r="AV321" t="s">
        <v>98</v>
      </c>
      <c r="AX321" t="s">
        <v>249</v>
      </c>
      <c r="BF321" t="s">
        <v>1129</v>
      </c>
      <c r="BG321" t="s">
        <v>98</v>
      </c>
      <c r="BH321" t="s">
        <v>98</v>
      </c>
      <c r="BI321" t="s">
        <v>98</v>
      </c>
      <c r="BK321" t="s">
        <v>138</v>
      </c>
      <c r="CA321" t="s">
        <v>1033</v>
      </c>
      <c r="CB321" t="s">
        <v>249</v>
      </c>
      <c r="CL321" t="s">
        <v>98</v>
      </c>
      <c r="CM321" t="s">
        <v>98</v>
      </c>
      <c r="CO321" s="1">
        <v>40247</v>
      </c>
      <c r="CP321" s="1">
        <v>43595</v>
      </c>
    </row>
    <row r="322" spans="1:94" x14ac:dyDescent="0.25">
      <c r="A322" s="4" t="s">
        <v>1130</v>
      </c>
      <c r="B322" t="str">
        <f xml:space="preserve"> "" &amp; 706411038921</f>
        <v>706411038921</v>
      </c>
      <c r="C322" t="s">
        <v>786</v>
      </c>
      <c r="D322" t="s">
        <v>1131</v>
      </c>
      <c r="F322" t="s">
        <v>135</v>
      </c>
      <c r="G322">
        <v>1</v>
      </c>
      <c r="H322">
        <v>1</v>
      </c>
      <c r="I322" t="s">
        <v>97</v>
      </c>
      <c r="J322" s="32">
        <v>7</v>
      </c>
      <c r="K322" s="32">
        <v>21</v>
      </c>
      <c r="L322">
        <v>0</v>
      </c>
      <c r="N322">
        <v>0</v>
      </c>
      <c r="S322">
        <v>12</v>
      </c>
      <c r="U322">
        <v>0.75</v>
      </c>
      <c r="V322">
        <v>0.2</v>
      </c>
      <c r="W322">
        <v>0.31</v>
      </c>
      <c r="X322">
        <v>1</v>
      </c>
      <c r="Y322">
        <v>2.75</v>
      </c>
      <c r="Z322">
        <v>12.5</v>
      </c>
      <c r="AA322">
        <v>5.5</v>
      </c>
      <c r="AB322">
        <v>0.11</v>
      </c>
      <c r="AC322">
        <v>0.76600000000000001</v>
      </c>
      <c r="AK322" t="s">
        <v>98</v>
      </c>
      <c r="AM322" t="s">
        <v>98</v>
      </c>
      <c r="AN322" t="s">
        <v>98</v>
      </c>
      <c r="AO322" t="s">
        <v>98</v>
      </c>
      <c r="AP322" t="s">
        <v>99</v>
      </c>
      <c r="AQ322" t="s">
        <v>102</v>
      </c>
      <c r="AV322" t="s">
        <v>98</v>
      </c>
      <c r="AX322" t="s">
        <v>253</v>
      </c>
      <c r="BF322" t="s">
        <v>1132</v>
      </c>
      <c r="BG322" t="s">
        <v>98</v>
      </c>
      <c r="BH322" t="s">
        <v>98</v>
      </c>
      <c r="BI322" t="s">
        <v>98</v>
      </c>
      <c r="BK322" t="s">
        <v>138</v>
      </c>
      <c r="CA322" t="s">
        <v>1033</v>
      </c>
      <c r="CB322" t="s">
        <v>253</v>
      </c>
      <c r="CL322" t="s">
        <v>98</v>
      </c>
      <c r="CM322" t="s">
        <v>98</v>
      </c>
      <c r="CO322" s="1">
        <v>40247</v>
      </c>
      <c r="CP322" s="1">
        <v>43595</v>
      </c>
    </row>
    <row r="323" spans="1:94" x14ac:dyDescent="0.25">
      <c r="A323" s="4" t="s">
        <v>1133</v>
      </c>
      <c r="B323" t="str">
        <f xml:space="preserve"> "" &amp; 706411041570</f>
        <v>706411041570</v>
      </c>
      <c r="C323" t="s">
        <v>786</v>
      </c>
      <c r="D323" t="s">
        <v>1134</v>
      </c>
      <c r="F323" t="s">
        <v>135</v>
      </c>
      <c r="G323">
        <v>1</v>
      </c>
      <c r="H323">
        <v>1</v>
      </c>
      <c r="I323" t="s">
        <v>97</v>
      </c>
      <c r="J323" s="32">
        <v>7</v>
      </c>
      <c r="K323" s="32">
        <v>21</v>
      </c>
      <c r="L323">
        <v>0</v>
      </c>
      <c r="N323">
        <v>0</v>
      </c>
      <c r="S323">
        <v>12</v>
      </c>
      <c r="U323">
        <v>0.75</v>
      </c>
      <c r="V323">
        <v>0.2</v>
      </c>
      <c r="W323">
        <v>0.31</v>
      </c>
      <c r="X323">
        <v>1</v>
      </c>
      <c r="Y323">
        <v>2.75</v>
      </c>
      <c r="Z323">
        <v>12.5</v>
      </c>
      <c r="AA323">
        <v>5.5</v>
      </c>
      <c r="AB323">
        <v>0.11</v>
      </c>
      <c r="AC323">
        <v>0.76600000000000001</v>
      </c>
      <c r="AK323" t="s">
        <v>98</v>
      </c>
      <c r="AM323" t="s">
        <v>98</v>
      </c>
      <c r="AN323" t="s">
        <v>98</v>
      </c>
      <c r="AO323" t="s">
        <v>98</v>
      </c>
      <c r="AP323" t="s">
        <v>99</v>
      </c>
      <c r="AQ323" t="s">
        <v>102</v>
      </c>
      <c r="AV323" t="s">
        <v>98</v>
      </c>
      <c r="AX323" t="s">
        <v>257</v>
      </c>
      <c r="BF323" t="s">
        <v>1135</v>
      </c>
      <c r="BG323" t="s">
        <v>98</v>
      </c>
      <c r="BH323" t="s">
        <v>98</v>
      </c>
      <c r="BI323" t="s">
        <v>98</v>
      </c>
      <c r="BK323" t="s">
        <v>138</v>
      </c>
      <c r="CA323" t="s">
        <v>1033</v>
      </c>
      <c r="CB323" t="s">
        <v>257</v>
      </c>
      <c r="CL323" t="s">
        <v>98</v>
      </c>
      <c r="CM323" t="s">
        <v>98</v>
      </c>
      <c r="CO323" s="1">
        <v>40841</v>
      </c>
      <c r="CP323" s="1">
        <v>43595</v>
      </c>
    </row>
    <row r="324" spans="1:94" x14ac:dyDescent="0.25">
      <c r="A324" s="4" t="s">
        <v>1136</v>
      </c>
      <c r="B324" t="str">
        <f xml:space="preserve"> "" &amp; 706411003103</f>
        <v>706411003103</v>
      </c>
      <c r="C324" t="s">
        <v>786</v>
      </c>
      <c r="D324" t="s">
        <v>1137</v>
      </c>
      <c r="F324" t="s">
        <v>135</v>
      </c>
      <c r="G324">
        <v>1</v>
      </c>
      <c r="H324">
        <v>1</v>
      </c>
      <c r="I324" t="s">
        <v>97</v>
      </c>
      <c r="J324" s="32">
        <v>7</v>
      </c>
      <c r="K324" s="32">
        <v>21</v>
      </c>
      <c r="L324">
        <v>0</v>
      </c>
      <c r="N324">
        <v>0</v>
      </c>
      <c r="S324">
        <v>12</v>
      </c>
      <c r="U324">
        <v>0.75</v>
      </c>
      <c r="V324">
        <v>0.2</v>
      </c>
      <c r="W324">
        <v>0.31</v>
      </c>
      <c r="X324">
        <v>1</v>
      </c>
      <c r="Y324">
        <v>2.75</v>
      </c>
      <c r="Z324">
        <v>12.5</v>
      </c>
      <c r="AA324">
        <v>5.5</v>
      </c>
      <c r="AB324">
        <v>0.11</v>
      </c>
      <c r="AC324">
        <v>0.76600000000000001</v>
      </c>
      <c r="AK324" t="s">
        <v>98</v>
      </c>
      <c r="AM324" t="s">
        <v>98</v>
      </c>
      <c r="AN324" t="s">
        <v>98</v>
      </c>
      <c r="AO324" t="s">
        <v>98</v>
      </c>
      <c r="AP324" t="s">
        <v>99</v>
      </c>
      <c r="AQ324" t="s">
        <v>102</v>
      </c>
      <c r="AV324" t="s">
        <v>98</v>
      </c>
      <c r="AX324" t="s">
        <v>261</v>
      </c>
      <c r="BF324" t="s">
        <v>1138</v>
      </c>
      <c r="BG324" t="s">
        <v>98</v>
      </c>
      <c r="BH324" t="s">
        <v>98</v>
      </c>
      <c r="BI324" t="s">
        <v>98</v>
      </c>
      <c r="BK324" t="s">
        <v>138</v>
      </c>
      <c r="CA324" t="s">
        <v>1033</v>
      </c>
      <c r="CB324" t="s">
        <v>261</v>
      </c>
      <c r="CL324" t="s">
        <v>98</v>
      </c>
      <c r="CM324" t="s">
        <v>98</v>
      </c>
      <c r="CO324" s="1">
        <v>39728</v>
      </c>
      <c r="CP324" s="1">
        <v>43595</v>
      </c>
    </row>
    <row r="325" spans="1:94" x14ac:dyDescent="0.25">
      <c r="A325" s="4" t="s">
        <v>1139</v>
      </c>
      <c r="B325" t="str">
        <f xml:space="preserve"> "" &amp; 706411035876</f>
        <v>706411035876</v>
      </c>
      <c r="C325" t="s">
        <v>786</v>
      </c>
      <c r="D325" t="s">
        <v>1140</v>
      </c>
      <c r="F325" t="s">
        <v>135</v>
      </c>
      <c r="G325">
        <v>1</v>
      </c>
      <c r="H325">
        <v>1</v>
      </c>
      <c r="I325" t="s">
        <v>97</v>
      </c>
      <c r="J325" s="32">
        <v>7</v>
      </c>
      <c r="K325" s="32">
        <v>21</v>
      </c>
      <c r="L325">
        <v>0</v>
      </c>
      <c r="N325">
        <v>0</v>
      </c>
      <c r="S325">
        <v>12</v>
      </c>
      <c r="U325">
        <v>0.75</v>
      </c>
      <c r="V325">
        <v>0.2</v>
      </c>
      <c r="W325">
        <v>0.31</v>
      </c>
      <c r="X325">
        <v>1</v>
      </c>
      <c r="Y325">
        <v>2.75</v>
      </c>
      <c r="Z325">
        <v>12.5</v>
      </c>
      <c r="AA325">
        <v>5.5</v>
      </c>
      <c r="AB325">
        <v>0.11</v>
      </c>
      <c r="AC325">
        <v>0.76600000000000001</v>
      </c>
      <c r="AK325" t="s">
        <v>98</v>
      </c>
      <c r="AM325" t="s">
        <v>98</v>
      </c>
      <c r="AN325" t="s">
        <v>98</v>
      </c>
      <c r="AO325" t="s">
        <v>98</v>
      </c>
      <c r="AP325" t="s">
        <v>99</v>
      </c>
      <c r="AQ325" t="s">
        <v>102</v>
      </c>
      <c r="AV325" t="s">
        <v>98</v>
      </c>
      <c r="AX325" t="s">
        <v>265</v>
      </c>
      <c r="BF325" t="s">
        <v>1141</v>
      </c>
      <c r="BG325" t="s">
        <v>98</v>
      </c>
      <c r="BH325" t="s">
        <v>98</v>
      </c>
      <c r="BI325" t="s">
        <v>98</v>
      </c>
      <c r="BK325" t="s">
        <v>138</v>
      </c>
      <c r="CA325" t="s">
        <v>1033</v>
      </c>
      <c r="CB325" t="s">
        <v>265</v>
      </c>
      <c r="CL325" t="s">
        <v>98</v>
      </c>
      <c r="CM325" t="s">
        <v>98</v>
      </c>
      <c r="CO325" s="1">
        <v>40854</v>
      </c>
      <c r="CP325" s="1">
        <v>43595</v>
      </c>
    </row>
    <row r="326" spans="1:94" x14ac:dyDescent="0.25">
      <c r="A326" s="4" t="s">
        <v>1142</v>
      </c>
      <c r="B326" t="str">
        <f xml:space="preserve"> "" &amp; 706411025082</f>
        <v>706411025082</v>
      </c>
      <c r="C326" t="s">
        <v>786</v>
      </c>
      <c r="D326" t="s">
        <v>4364</v>
      </c>
      <c r="F326" t="s">
        <v>135</v>
      </c>
      <c r="G326">
        <v>1</v>
      </c>
      <c r="H326">
        <v>1</v>
      </c>
      <c r="I326" t="s">
        <v>97</v>
      </c>
      <c r="J326" s="32">
        <v>7</v>
      </c>
      <c r="K326" s="32">
        <v>21</v>
      </c>
      <c r="L326">
        <v>0</v>
      </c>
      <c r="N326">
        <v>0</v>
      </c>
      <c r="S326">
        <v>12</v>
      </c>
      <c r="U326">
        <v>0.75</v>
      </c>
      <c r="V326">
        <v>0.2</v>
      </c>
      <c r="W326">
        <v>0.31</v>
      </c>
      <c r="X326">
        <v>1</v>
      </c>
      <c r="Y326">
        <v>2.75</v>
      </c>
      <c r="Z326">
        <v>12.5</v>
      </c>
      <c r="AA326">
        <v>5.5</v>
      </c>
      <c r="AB326">
        <v>0.11</v>
      </c>
      <c r="AC326">
        <v>0.76600000000000001</v>
      </c>
      <c r="AK326" t="s">
        <v>98</v>
      </c>
      <c r="AM326" t="s">
        <v>98</v>
      </c>
      <c r="AN326" t="s">
        <v>98</v>
      </c>
      <c r="AO326" t="s">
        <v>98</v>
      </c>
      <c r="AP326" t="s">
        <v>99</v>
      </c>
      <c r="AQ326" t="s">
        <v>102</v>
      </c>
      <c r="AV326" t="s">
        <v>98</v>
      </c>
      <c r="AX326" t="s">
        <v>426</v>
      </c>
      <c r="BF326" t="s">
        <v>1143</v>
      </c>
      <c r="BG326" t="s">
        <v>98</v>
      </c>
      <c r="BH326" t="s">
        <v>98</v>
      </c>
      <c r="BI326" t="s">
        <v>98</v>
      </c>
      <c r="BK326" t="s">
        <v>138</v>
      </c>
      <c r="CA326" t="s">
        <v>1033</v>
      </c>
      <c r="CB326" t="s">
        <v>426</v>
      </c>
      <c r="CL326" t="s">
        <v>98</v>
      </c>
      <c r="CM326" t="s">
        <v>98</v>
      </c>
      <c r="CO326" s="1">
        <v>40854</v>
      </c>
      <c r="CP326" s="1">
        <v>43595</v>
      </c>
    </row>
    <row r="327" spans="1:94" x14ac:dyDescent="0.25">
      <c r="A327" s="4" t="s">
        <v>1144</v>
      </c>
      <c r="B327" t="str">
        <f xml:space="preserve"> "" &amp; 706411044625</f>
        <v>706411044625</v>
      </c>
      <c r="C327" t="s">
        <v>786</v>
      </c>
      <c r="D327" t="s">
        <v>1145</v>
      </c>
      <c r="F327" t="s">
        <v>135</v>
      </c>
      <c r="G327">
        <v>1</v>
      </c>
      <c r="H327">
        <v>1</v>
      </c>
      <c r="I327" t="s">
        <v>97</v>
      </c>
      <c r="J327" s="32">
        <v>7</v>
      </c>
      <c r="K327" s="32">
        <v>21</v>
      </c>
      <c r="L327">
        <v>0</v>
      </c>
      <c r="N327">
        <v>0</v>
      </c>
      <c r="S327">
        <v>12</v>
      </c>
      <c r="U327">
        <v>0.75</v>
      </c>
      <c r="V327">
        <v>0.2</v>
      </c>
      <c r="W327">
        <v>0.31</v>
      </c>
      <c r="X327">
        <v>1</v>
      </c>
      <c r="Y327">
        <v>2.75</v>
      </c>
      <c r="Z327">
        <v>12.5</v>
      </c>
      <c r="AA327">
        <v>5.5</v>
      </c>
      <c r="AB327">
        <v>0.11</v>
      </c>
      <c r="AC327">
        <v>0.76600000000000001</v>
      </c>
      <c r="AK327" t="s">
        <v>98</v>
      </c>
      <c r="AM327" t="s">
        <v>98</v>
      </c>
      <c r="AN327" t="s">
        <v>98</v>
      </c>
      <c r="AO327" t="s">
        <v>98</v>
      </c>
      <c r="AP327" t="s">
        <v>99</v>
      </c>
      <c r="AQ327" t="s">
        <v>102</v>
      </c>
      <c r="AV327" t="s">
        <v>98</v>
      </c>
      <c r="AX327" t="s">
        <v>430</v>
      </c>
      <c r="BF327" t="s">
        <v>1146</v>
      </c>
      <c r="BG327" t="s">
        <v>98</v>
      </c>
      <c r="BH327" t="s">
        <v>98</v>
      </c>
      <c r="BI327" t="s">
        <v>98</v>
      </c>
      <c r="CB327" t="s">
        <v>430</v>
      </c>
      <c r="CL327" t="s">
        <v>98</v>
      </c>
      <c r="CM327" t="s">
        <v>98</v>
      </c>
      <c r="CP327" s="1">
        <v>43595</v>
      </c>
    </row>
    <row r="328" spans="1:94" x14ac:dyDescent="0.25">
      <c r="A328" s="4" t="s">
        <v>1147</v>
      </c>
      <c r="B328" t="str">
        <f xml:space="preserve"> "" &amp; 706411034749</f>
        <v>706411034749</v>
      </c>
      <c r="C328" t="s">
        <v>786</v>
      </c>
      <c r="D328" t="s">
        <v>1148</v>
      </c>
      <c r="F328" t="s">
        <v>135</v>
      </c>
      <c r="G328">
        <v>1</v>
      </c>
      <c r="H328">
        <v>1</v>
      </c>
      <c r="I328" t="s">
        <v>97</v>
      </c>
      <c r="J328" s="32">
        <v>7</v>
      </c>
      <c r="K328" s="32">
        <v>21</v>
      </c>
      <c r="L328">
        <v>0</v>
      </c>
      <c r="N328">
        <v>0</v>
      </c>
      <c r="S328">
        <v>12</v>
      </c>
      <c r="U328">
        <v>0.75</v>
      </c>
      <c r="V328">
        <v>0.2</v>
      </c>
      <c r="W328">
        <v>0.31</v>
      </c>
      <c r="X328">
        <v>1</v>
      </c>
      <c r="Y328">
        <v>2.75</v>
      </c>
      <c r="Z328">
        <v>12.5</v>
      </c>
      <c r="AA328">
        <v>5.5</v>
      </c>
      <c r="AB328">
        <v>0.11</v>
      </c>
      <c r="AC328">
        <v>0.76600000000000001</v>
      </c>
      <c r="AK328" t="s">
        <v>98</v>
      </c>
      <c r="AM328" t="s">
        <v>98</v>
      </c>
      <c r="AN328" t="s">
        <v>98</v>
      </c>
      <c r="AO328" t="s">
        <v>98</v>
      </c>
      <c r="AP328" t="s">
        <v>99</v>
      </c>
      <c r="AQ328" t="s">
        <v>102</v>
      </c>
      <c r="AV328" t="s">
        <v>98</v>
      </c>
      <c r="AX328" t="s">
        <v>1149</v>
      </c>
      <c r="BF328" t="s">
        <v>1150</v>
      </c>
      <c r="BG328" t="s">
        <v>98</v>
      </c>
      <c r="BH328" t="s">
        <v>98</v>
      </c>
      <c r="BI328" t="s">
        <v>98</v>
      </c>
      <c r="BK328" t="s">
        <v>138</v>
      </c>
      <c r="CA328" t="s">
        <v>1033</v>
      </c>
      <c r="CB328" t="s">
        <v>1149</v>
      </c>
      <c r="CL328" t="s">
        <v>98</v>
      </c>
      <c r="CM328" t="s">
        <v>98</v>
      </c>
      <c r="CO328" s="1">
        <v>39728</v>
      </c>
      <c r="CP328" s="1">
        <v>43595</v>
      </c>
    </row>
    <row r="329" spans="1:94" x14ac:dyDescent="0.25">
      <c r="A329" s="4" t="s">
        <v>1151</v>
      </c>
      <c r="B329" t="str">
        <f xml:space="preserve"> "" &amp; 706411043093</f>
        <v>706411043093</v>
      </c>
      <c r="C329" t="s">
        <v>786</v>
      </c>
      <c r="D329" t="s">
        <v>1152</v>
      </c>
      <c r="F329" t="s">
        <v>135</v>
      </c>
      <c r="G329">
        <v>1</v>
      </c>
      <c r="H329">
        <v>1</v>
      </c>
      <c r="I329" t="s">
        <v>97</v>
      </c>
      <c r="J329" s="32">
        <v>7</v>
      </c>
      <c r="K329" s="32">
        <v>21</v>
      </c>
      <c r="L329">
        <v>0</v>
      </c>
      <c r="N329">
        <v>0</v>
      </c>
      <c r="S329">
        <v>12</v>
      </c>
      <c r="U329">
        <v>0.75</v>
      </c>
      <c r="V329">
        <v>0.2</v>
      </c>
      <c r="W329">
        <v>0.31</v>
      </c>
      <c r="X329">
        <v>1</v>
      </c>
      <c r="Y329">
        <v>2.75</v>
      </c>
      <c r="Z329">
        <v>12.5</v>
      </c>
      <c r="AA329">
        <v>5.5</v>
      </c>
      <c r="AB329">
        <v>0.11</v>
      </c>
      <c r="AC329">
        <v>0.76600000000000001</v>
      </c>
      <c r="AK329" t="s">
        <v>98</v>
      </c>
      <c r="AM329" t="s">
        <v>98</v>
      </c>
      <c r="AN329" t="s">
        <v>98</v>
      </c>
      <c r="AO329" t="s">
        <v>98</v>
      </c>
      <c r="AP329" t="s">
        <v>99</v>
      </c>
      <c r="AQ329" t="s">
        <v>102</v>
      </c>
      <c r="AV329" t="s">
        <v>98</v>
      </c>
      <c r="AX329" t="s">
        <v>269</v>
      </c>
      <c r="BF329" t="s">
        <v>1153</v>
      </c>
      <c r="BG329" t="s">
        <v>98</v>
      </c>
      <c r="BH329" t="s">
        <v>98</v>
      </c>
      <c r="BI329" t="s">
        <v>98</v>
      </c>
      <c r="CB329" t="s">
        <v>269</v>
      </c>
      <c r="CL329" t="s">
        <v>98</v>
      </c>
      <c r="CM329" t="s">
        <v>98</v>
      </c>
      <c r="CP329" s="1">
        <v>43595</v>
      </c>
    </row>
    <row r="330" spans="1:94" x14ac:dyDescent="0.25">
      <c r="A330" s="4" t="s">
        <v>1154</v>
      </c>
      <c r="B330" t="str">
        <f xml:space="preserve"> "" &amp; 706411041860</f>
        <v>706411041860</v>
      </c>
      <c r="C330" t="s">
        <v>786</v>
      </c>
      <c r="D330" t="s">
        <v>1155</v>
      </c>
      <c r="F330" t="s">
        <v>135</v>
      </c>
      <c r="G330">
        <v>1</v>
      </c>
      <c r="H330">
        <v>1</v>
      </c>
      <c r="I330" t="s">
        <v>97</v>
      </c>
      <c r="J330" s="32">
        <v>7</v>
      </c>
      <c r="K330" s="32">
        <v>21</v>
      </c>
      <c r="L330">
        <v>0</v>
      </c>
      <c r="N330">
        <v>0</v>
      </c>
      <c r="S330">
        <v>12</v>
      </c>
      <c r="U330">
        <v>0.75</v>
      </c>
      <c r="V330">
        <v>0.2</v>
      </c>
      <c r="W330">
        <v>0.31</v>
      </c>
      <c r="X330">
        <v>1</v>
      </c>
      <c r="Y330">
        <v>2.75</v>
      </c>
      <c r="Z330">
        <v>12.5</v>
      </c>
      <c r="AA330">
        <v>5.5</v>
      </c>
      <c r="AB330">
        <v>0.11</v>
      </c>
      <c r="AC330">
        <v>0.76600000000000001</v>
      </c>
      <c r="AK330" t="s">
        <v>98</v>
      </c>
      <c r="AM330" t="s">
        <v>98</v>
      </c>
      <c r="AN330" t="s">
        <v>98</v>
      </c>
      <c r="AO330" t="s">
        <v>98</v>
      </c>
      <c r="AP330" t="s">
        <v>99</v>
      </c>
      <c r="AQ330" t="s">
        <v>102</v>
      </c>
      <c r="AV330" t="s">
        <v>98</v>
      </c>
      <c r="AX330" t="s">
        <v>441</v>
      </c>
      <c r="BF330" t="s">
        <v>1156</v>
      </c>
      <c r="BG330" t="s">
        <v>98</v>
      </c>
      <c r="BH330" t="s">
        <v>98</v>
      </c>
      <c r="BI330" t="s">
        <v>98</v>
      </c>
      <c r="BK330" t="s">
        <v>138</v>
      </c>
      <c r="CA330" t="s">
        <v>1033</v>
      </c>
      <c r="CB330" t="s">
        <v>441</v>
      </c>
      <c r="CL330" t="s">
        <v>98</v>
      </c>
      <c r="CM330" t="s">
        <v>98</v>
      </c>
      <c r="CO330" s="1">
        <v>40728</v>
      </c>
      <c r="CP330" s="1">
        <v>43595</v>
      </c>
    </row>
    <row r="331" spans="1:94" x14ac:dyDescent="0.25">
      <c r="A331" s="4" t="s">
        <v>1157</v>
      </c>
      <c r="B331" t="str">
        <f xml:space="preserve"> "" &amp; 706411029097</f>
        <v>706411029097</v>
      </c>
      <c r="C331" t="s">
        <v>786</v>
      </c>
      <c r="D331" t="s">
        <v>1158</v>
      </c>
      <c r="F331" t="s">
        <v>135</v>
      </c>
      <c r="G331">
        <v>1</v>
      </c>
      <c r="H331">
        <v>1</v>
      </c>
      <c r="I331" t="s">
        <v>97</v>
      </c>
      <c r="J331" s="32">
        <v>7</v>
      </c>
      <c r="K331" s="32">
        <v>21</v>
      </c>
      <c r="L331">
        <v>0</v>
      </c>
      <c r="N331">
        <v>0</v>
      </c>
      <c r="S331">
        <v>12</v>
      </c>
      <c r="U331">
        <v>0.75</v>
      </c>
      <c r="V331">
        <v>0.2</v>
      </c>
      <c r="W331">
        <v>0.31</v>
      </c>
      <c r="X331">
        <v>1</v>
      </c>
      <c r="Y331">
        <v>2.75</v>
      </c>
      <c r="Z331">
        <v>12.5</v>
      </c>
      <c r="AA331">
        <v>5.5</v>
      </c>
      <c r="AB331">
        <v>0.11</v>
      </c>
      <c r="AC331">
        <v>0.76600000000000001</v>
      </c>
      <c r="AK331" t="s">
        <v>98</v>
      </c>
      <c r="AM331" t="s">
        <v>98</v>
      </c>
      <c r="AN331" t="s">
        <v>98</v>
      </c>
      <c r="AO331" t="s">
        <v>98</v>
      </c>
      <c r="AP331" t="s">
        <v>99</v>
      </c>
      <c r="AQ331" t="s">
        <v>102</v>
      </c>
      <c r="AV331" t="s">
        <v>98</v>
      </c>
      <c r="AX331" t="s">
        <v>273</v>
      </c>
      <c r="BF331" t="s">
        <v>1159</v>
      </c>
      <c r="BG331" t="s">
        <v>98</v>
      </c>
      <c r="BH331" t="s">
        <v>98</v>
      </c>
      <c r="BI331" t="s">
        <v>98</v>
      </c>
      <c r="BK331" t="s">
        <v>138</v>
      </c>
      <c r="CA331" t="s">
        <v>1033</v>
      </c>
      <c r="CB331" t="s">
        <v>273</v>
      </c>
      <c r="CL331" t="s">
        <v>98</v>
      </c>
      <c r="CM331" t="s">
        <v>98</v>
      </c>
      <c r="CO331" s="1">
        <v>39728</v>
      </c>
      <c r="CP331" s="1">
        <v>43595</v>
      </c>
    </row>
    <row r="332" spans="1:94" x14ac:dyDescent="0.25">
      <c r="A332" s="4" t="s">
        <v>1160</v>
      </c>
      <c r="B332" t="str">
        <f xml:space="preserve"> "" &amp; 706411025785</f>
        <v>706411025785</v>
      </c>
      <c r="C332" t="s">
        <v>786</v>
      </c>
      <c r="D332" t="s">
        <v>1161</v>
      </c>
      <c r="F332" t="s">
        <v>135</v>
      </c>
      <c r="G332">
        <v>1</v>
      </c>
      <c r="H332">
        <v>1</v>
      </c>
      <c r="I332" t="s">
        <v>97</v>
      </c>
      <c r="J332" s="32">
        <v>7</v>
      </c>
      <c r="K332" s="32">
        <v>21</v>
      </c>
      <c r="L332">
        <v>0</v>
      </c>
      <c r="N332">
        <v>0</v>
      </c>
      <c r="S332">
        <v>12</v>
      </c>
      <c r="U332">
        <v>0.75</v>
      </c>
      <c r="V332">
        <v>0.2</v>
      </c>
      <c r="W332">
        <v>0.31</v>
      </c>
      <c r="X332">
        <v>1</v>
      </c>
      <c r="Y332">
        <v>2.75</v>
      </c>
      <c r="Z332">
        <v>12.5</v>
      </c>
      <c r="AA332">
        <v>5.5</v>
      </c>
      <c r="AB332">
        <v>0.11</v>
      </c>
      <c r="AC332">
        <v>0.76600000000000001</v>
      </c>
      <c r="AK332" t="s">
        <v>98</v>
      </c>
      <c r="AM332" t="s">
        <v>98</v>
      </c>
      <c r="AN332" t="s">
        <v>98</v>
      </c>
      <c r="AO332" t="s">
        <v>98</v>
      </c>
      <c r="AP332" t="s">
        <v>99</v>
      </c>
      <c r="AQ332" t="s">
        <v>102</v>
      </c>
      <c r="AV332" t="s">
        <v>98</v>
      </c>
      <c r="AX332" t="s">
        <v>277</v>
      </c>
      <c r="BF332" t="s">
        <v>1162</v>
      </c>
      <c r="BG332" t="s">
        <v>98</v>
      </c>
      <c r="BH332" t="s">
        <v>98</v>
      </c>
      <c r="BI332" t="s">
        <v>98</v>
      </c>
      <c r="BK332" t="s">
        <v>138</v>
      </c>
      <c r="CA332" t="s">
        <v>1033</v>
      </c>
      <c r="CB332" t="s">
        <v>277</v>
      </c>
      <c r="CL332" t="s">
        <v>98</v>
      </c>
      <c r="CM332" t="s">
        <v>98</v>
      </c>
      <c r="CO332" s="1">
        <v>39728</v>
      </c>
      <c r="CP332" s="1">
        <v>43595</v>
      </c>
    </row>
    <row r="333" spans="1:94" x14ac:dyDescent="0.25">
      <c r="A333" s="4" t="s">
        <v>1163</v>
      </c>
      <c r="B333" t="str">
        <f xml:space="preserve"> "" &amp; 706411061424</f>
        <v>706411061424</v>
      </c>
      <c r="C333" t="s">
        <v>786</v>
      </c>
      <c r="D333" t="s">
        <v>1164</v>
      </c>
      <c r="F333" t="s">
        <v>135</v>
      </c>
      <c r="G333">
        <v>1</v>
      </c>
      <c r="H333">
        <v>1</v>
      </c>
      <c r="I333" t="s">
        <v>97</v>
      </c>
      <c r="J333" s="32">
        <v>7</v>
      </c>
      <c r="K333" s="32">
        <v>21</v>
      </c>
      <c r="L333">
        <v>0</v>
      </c>
      <c r="N333">
        <v>0</v>
      </c>
      <c r="S333">
        <v>12</v>
      </c>
      <c r="U333">
        <v>0.75</v>
      </c>
      <c r="V333">
        <v>0.2</v>
      </c>
      <c r="W333">
        <v>0.31</v>
      </c>
      <c r="X333">
        <v>1</v>
      </c>
      <c r="Y333">
        <v>2.75</v>
      </c>
      <c r="Z333">
        <v>12.5</v>
      </c>
      <c r="AA333">
        <v>5.5</v>
      </c>
      <c r="AB333">
        <v>0.11</v>
      </c>
      <c r="AC333">
        <v>0.76600000000000001</v>
      </c>
      <c r="AK333" t="s">
        <v>98</v>
      </c>
      <c r="AM333" t="s">
        <v>98</v>
      </c>
      <c r="AN333" t="s">
        <v>98</v>
      </c>
      <c r="AO333" t="s">
        <v>98</v>
      </c>
      <c r="AP333" t="s">
        <v>99</v>
      </c>
      <c r="AQ333" t="s">
        <v>102</v>
      </c>
      <c r="AV333" t="s">
        <v>98</v>
      </c>
      <c r="BF333" t="s">
        <v>1165</v>
      </c>
      <c r="BG333" t="s">
        <v>98</v>
      </c>
      <c r="BH333" t="s">
        <v>98</v>
      </c>
      <c r="BI333" t="s">
        <v>98</v>
      </c>
      <c r="BK333" t="s">
        <v>138</v>
      </c>
      <c r="CA333" t="s">
        <v>1033</v>
      </c>
      <c r="CL333" t="s">
        <v>98</v>
      </c>
      <c r="CM333" t="s">
        <v>98</v>
      </c>
      <c r="CO333" s="1">
        <v>43388</v>
      </c>
      <c r="CP333" s="1">
        <v>43595</v>
      </c>
    </row>
    <row r="334" spans="1:94" x14ac:dyDescent="0.25">
      <c r="A334" s="4" t="s">
        <v>1166</v>
      </c>
      <c r="B334" t="str">
        <f xml:space="preserve"> "" &amp; 706411019821</f>
        <v>706411019821</v>
      </c>
      <c r="C334" t="s">
        <v>786</v>
      </c>
      <c r="D334" t="s">
        <v>4365</v>
      </c>
      <c r="F334" t="s">
        <v>135</v>
      </c>
      <c r="G334">
        <v>1</v>
      </c>
      <c r="H334">
        <v>1</v>
      </c>
      <c r="I334" t="s">
        <v>97</v>
      </c>
      <c r="J334" s="32">
        <v>7</v>
      </c>
      <c r="K334" s="32">
        <v>21</v>
      </c>
      <c r="L334">
        <v>0</v>
      </c>
      <c r="N334">
        <v>0</v>
      </c>
      <c r="S334">
        <v>12</v>
      </c>
      <c r="U334">
        <v>0.75</v>
      </c>
      <c r="V334">
        <v>0.2</v>
      </c>
      <c r="W334">
        <v>0.31</v>
      </c>
      <c r="X334">
        <v>1</v>
      </c>
      <c r="Y334">
        <v>2.75</v>
      </c>
      <c r="Z334">
        <v>12.5</v>
      </c>
      <c r="AA334">
        <v>5.5</v>
      </c>
      <c r="AB334">
        <v>0.11</v>
      </c>
      <c r="AC334">
        <v>0.76600000000000001</v>
      </c>
      <c r="AK334" t="s">
        <v>98</v>
      </c>
      <c r="AM334" t="s">
        <v>98</v>
      </c>
      <c r="AN334" t="s">
        <v>98</v>
      </c>
      <c r="AO334" t="s">
        <v>98</v>
      </c>
      <c r="AP334" t="s">
        <v>99</v>
      </c>
      <c r="AQ334" t="s">
        <v>102</v>
      </c>
      <c r="AV334" t="s">
        <v>98</v>
      </c>
      <c r="AX334" t="s">
        <v>284</v>
      </c>
      <c r="BF334" t="s">
        <v>1167</v>
      </c>
      <c r="BG334" t="s">
        <v>98</v>
      </c>
      <c r="BH334" t="s">
        <v>98</v>
      </c>
      <c r="BI334" t="s">
        <v>98</v>
      </c>
      <c r="BK334" t="s">
        <v>138</v>
      </c>
      <c r="CA334" t="s">
        <v>1033</v>
      </c>
      <c r="CB334" t="s">
        <v>284</v>
      </c>
      <c r="CL334" t="s">
        <v>98</v>
      </c>
      <c r="CM334" t="s">
        <v>98</v>
      </c>
      <c r="CO334" s="1">
        <v>39728</v>
      </c>
      <c r="CP334" s="1">
        <v>43595</v>
      </c>
    </row>
    <row r="335" spans="1:94" x14ac:dyDescent="0.25">
      <c r="A335" s="4" t="s">
        <v>1168</v>
      </c>
      <c r="B335" t="str">
        <f xml:space="preserve"> "" &amp; 706411062384</f>
        <v>706411062384</v>
      </c>
      <c r="C335" t="s">
        <v>786</v>
      </c>
      <c r="D335" t="s">
        <v>1169</v>
      </c>
      <c r="F335" t="s">
        <v>135</v>
      </c>
      <c r="G335">
        <v>1</v>
      </c>
      <c r="H335">
        <v>1</v>
      </c>
      <c r="I335" t="s">
        <v>97</v>
      </c>
      <c r="J335" s="32">
        <v>7</v>
      </c>
      <c r="K335" s="32">
        <v>21</v>
      </c>
      <c r="L335">
        <v>0</v>
      </c>
      <c r="N335">
        <v>0</v>
      </c>
      <c r="S335">
        <v>12</v>
      </c>
      <c r="U335">
        <v>0.75</v>
      </c>
      <c r="V335">
        <v>0.2</v>
      </c>
      <c r="W335">
        <v>0.31</v>
      </c>
      <c r="X335">
        <v>1</v>
      </c>
      <c r="Y335">
        <v>2.75</v>
      </c>
      <c r="Z335">
        <v>12.5</v>
      </c>
      <c r="AA335">
        <v>5.5</v>
      </c>
      <c r="AB335">
        <v>0.11</v>
      </c>
      <c r="AC335">
        <v>0.76600000000000001</v>
      </c>
      <c r="AK335" t="s">
        <v>98</v>
      </c>
      <c r="AM335" t="s">
        <v>98</v>
      </c>
      <c r="AN335" t="s">
        <v>98</v>
      </c>
      <c r="AO335" t="s">
        <v>98</v>
      </c>
      <c r="AP335" t="s">
        <v>99</v>
      </c>
      <c r="AQ335" t="s">
        <v>102</v>
      </c>
      <c r="AV335" t="s">
        <v>98</v>
      </c>
      <c r="AX335" t="s">
        <v>289</v>
      </c>
      <c r="BF335" t="s">
        <v>1170</v>
      </c>
      <c r="BG335" t="s">
        <v>98</v>
      </c>
      <c r="BH335" t="s">
        <v>98</v>
      </c>
      <c r="BI335" t="s">
        <v>98</v>
      </c>
      <c r="BJ335" t="s">
        <v>291</v>
      </c>
      <c r="BK335" t="s">
        <v>292</v>
      </c>
      <c r="CA335" t="s">
        <v>1033</v>
      </c>
      <c r="CB335" t="s">
        <v>289</v>
      </c>
      <c r="CL335" t="s">
        <v>98</v>
      </c>
      <c r="CM335" t="s">
        <v>98</v>
      </c>
      <c r="CN335" t="s">
        <v>349</v>
      </c>
      <c r="CO335" s="1">
        <v>43571</v>
      </c>
      <c r="CP335" s="1">
        <v>43588</v>
      </c>
    </row>
    <row r="336" spans="1:94" x14ac:dyDescent="0.25">
      <c r="A336" s="4" t="s">
        <v>1171</v>
      </c>
      <c r="B336" t="str">
        <f xml:space="preserve"> "" &amp; 706411300608</f>
        <v>706411300608</v>
      </c>
      <c r="C336" t="s">
        <v>786</v>
      </c>
      <c r="D336" t="s">
        <v>4367</v>
      </c>
      <c r="F336" t="s">
        <v>135</v>
      </c>
      <c r="G336">
        <v>1</v>
      </c>
      <c r="H336">
        <v>1</v>
      </c>
      <c r="I336" t="s">
        <v>97</v>
      </c>
      <c r="J336" s="32">
        <v>7</v>
      </c>
      <c r="K336" s="32">
        <v>21</v>
      </c>
      <c r="L336">
        <v>0</v>
      </c>
      <c r="N336">
        <v>0</v>
      </c>
      <c r="S336">
        <v>12</v>
      </c>
      <c r="U336">
        <v>0.75</v>
      </c>
      <c r="V336">
        <v>0.2</v>
      </c>
      <c r="W336">
        <v>0.31</v>
      </c>
      <c r="X336">
        <v>1</v>
      </c>
      <c r="Y336">
        <v>2.75</v>
      </c>
      <c r="Z336">
        <v>12.5</v>
      </c>
      <c r="AA336">
        <v>5.5</v>
      </c>
      <c r="AB336">
        <v>0.11</v>
      </c>
      <c r="AC336">
        <v>0.76600000000000001</v>
      </c>
      <c r="AK336" t="s">
        <v>98</v>
      </c>
      <c r="AM336" t="s">
        <v>98</v>
      </c>
      <c r="AN336" t="s">
        <v>98</v>
      </c>
      <c r="AO336" t="s">
        <v>98</v>
      </c>
      <c r="AP336" t="s">
        <v>99</v>
      </c>
      <c r="AQ336" t="s">
        <v>102</v>
      </c>
      <c r="AV336" t="s">
        <v>98</v>
      </c>
      <c r="AX336" t="s">
        <v>458</v>
      </c>
      <c r="BF336" t="s">
        <v>1172</v>
      </c>
      <c r="BG336" t="s">
        <v>98</v>
      </c>
      <c r="BH336" t="s">
        <v>98</v>
      </c>
      <c r="BI336" t="s">
        <v>98</v>
      </c>
      <c r="BK336" t="s">
        <v>138</v>
      </c>
      <c r="CA336" t="s">
        <v>1033</v>
      </c>
      <c r="CB336" t="s">
        <v>458</v>
      </c>
      <c r="CL336" t="s">
        <v>98</v>
      </c>
      <c r="CM336" t="s">
        <v>98</v>
      </c>
      <c r="CO336" s="1">
        <v>39728</v>
      </c>
      <c r="CP336" s="1">
        <v>43595</v>
      </c>
    </row>
    <row r="337" spans="1:94" x14ac:dyDescent="0.25">
      <c r="A337" s="4" t="s">
        <v>1173</v>
      </c>
      <c r="B337" t="str">
        <f xml:space="preserve"> "" &amp; 706411043109</f>
        <v>706411043109</v>
      </c>
      <c r="C337" t="s">
        <v>786</v>
      </c>
      <c r="D337" t="s">
        <v>1174</v>
      </c>
      <c r="F337" t="s">
        <v>135</v>
      </c>
      <c r="G337">
        <v>1</v>
      </c>
      <c r="H337">
        <v>1</v>
      </c>
      <c r="I337" t="s">
        <v>97</v>
      </c>
      <c r="J337" s="32">
        <v>7</v>
      </c>
      <c r="K337" s="32">
        <v>21</v>
      </c>
      <c r="L337">
        <v>0</v>
      </c>
      <c r="N337">
        <v>0</v>
      </c>
      <c r="S337">
        <v>12</v>
      </c>
      <c r="U337">
        <v>0.75</v>
      </c>
      <c r="V337">
        <v>0.2</v>
      </c>
      <c r="W337">
        <v>0.31</v>
      </c>
      <c r="X337">
        <v>1</v>
      </c>
      <c r="Y337">
        <v>2.75</v>
      </c>
      <c r="Z337">
        <v>12.5</v>
      </c>
      <c r="AA337">
        <v>5.5</v>
      </c>
      <c r="AB337">
        <v>0.11</v>
      </c>
      <c r="AC337">
        <v>0.76600000000000001</v>
      </c>
      <c r="AK337" t="s">
        <v>98</v>
      </c>
      <c r="AM337" t="s">
        <v>98</v>
      </c>
      <c r="AN337" t="s">
        <v>98</v>
      </c>
      <c r="AO337" t="s">
        <v>98</v>
      </c>
      <c r="AP337" t="s">
        <v>99</v>
      </c>
      <c r="AQ337" t="s">
        <v>102</v>
      </c>
      <c r="AV337" t="s">
        <v>98</v>
      </c>
      <c r="AX337" t="s">
        <v>295</v>
      </c>
      <c r="BF337" t="s">
        <v>1175</v>
      </c>
      <c r="BG337" t="s">
        <v>98</v>
      </c>
      <c r="BH337" t="s">
        <v>98</v>
      </c>
      <c r="BI337" t="s">
        <v>98</v>
      </c>
      <c r="CB337" t="s">
        <v>295</v>
      </c>
      <c r="CL337" t="s">
        <v>98</v>
      </c>
      <c r="CM337" t="s">
        <v>98</v>
      </c>
      <c r="CP337" s="1">
        <v>43595</v>
      </c>
    </row>
    <row r="338" spans="1:94" x14ac:dyDescent="0.25">
      <c r="A338" s="4" t="s">
        <v>1176</v>
      </c>
      <c r="B338" t="str">
        <f xml:space="preserve"> "" &amp; 706411019838</f>
        <v>706411019838</v>
      </c>
      <c r="C338" t="s">
        <v>786</v>
      </c>
      <c r="D338" t="s">
        <v>4366</v>
      </c>
      <c r="F338" t="s">
        <v>135</v>
      </c>
      <c r="G338">
        <v>1</v>
      </c>
      <c r="H338">
        <v>1</v>
      </c>
      <c r="I338" t="s">
        <v>97</v>
      </c>
      <c r="J338" s="32">
        <v>7</v>
      </c>
      <c r="K338" s="32">
        <v>21</v>
      </c>
      <c r="L338">
        <v>0</v>
      </c>
      <c r="N338">
        <v>0</v>
      </c>
      <c r="S338">
        <v>12</v>
      </c>
      <c r="U338">
        <v>0.75</v>
      </c>
      <c r="V338">
        <v>0.2</v>
      </c>
      <c r="W338">
        <v>0.31</v>
      </c>
      <c r="X338">
        <v>1</v>
      </c>
      <c r="Y338">
        <v>2.75</v>
      </c>
      <c r="Z338">
        <v>12.5</v>
      </c>
      <c r="AA338">
        <v>5.5</v>
      </c>
      <c r="AB338">
        <v>0.11</v>
      </c>
      <c r="AC338">
        <v>0.76600000000000001</v>
      </c>
      <c r="AK338" t="s">
        <v>98</v>
      </c>
      <c r="AM338" t="s">
        <v>98</v>
      </c>
      <c r="AN338" t="s">
        <v>98</v>
      </c>
      <c r="AO338" t="s">
        <v>98</v>
      </c>
      <c r="AP338" t="s">
        <v>99</v>
      </c>
      <c r="AQ338" t="s">
        <v>102</v>
      </c>
      <c r="AV338" t="s">
        <v>98</v>
      </c>
      <c r="AX338" t="s">
        <v>298</v>
      </c>
      <c r="BF338" t="s">
        <v>1177</v>
      </c>
      <c r="BG338" t="s">
        <v>98</v>
      </c>
      <c r="BH338" t="s">
        <v>98</v>
      </c>
      <c r="BI338" t="s">
        <v>98</v>
      </c>
      <c r="BK338" t="s">
        <v>138</v>
      </c>
      <c r="CA338" t="s">
        <v>1033</v>
      </c>
      <c r="CB338" t="s">
        <v>298</v>
      </c>
      <c r="CL338" t="s">
        <v>98</v>
      </c>
      <c r="CM338" t="s">
        <v>98</v>
      </c>
      <c r="CO338" s="1">
        <v>39728</v>
      </c>
      <c r="CP338" s="1">
        <v>43595</v>
      </c>
    </row>
    <row r="339" spans="1:94" x14ac:dyDescent="0.25">
      <c r="A339" s="4" t="s">
        <v>1178</v>
      </c>
      <c r="B339" t="str">
        <f xml:space="preserve"> "" &amp; 706411055133</f>
        <v>706411055133</v>
      </c>
      <c r="C339" t="s">
        <v>786</v>
      </c>
      <c r="D339" t="s">
        <v>1179</v>
      </c>
      <c r="F339" t="s">
        <v>135</v>
      </c>
      <c r="G339">
        <v>1</v>
      </c>
      <c r="H339">
        <v>1</v>
      </c>
      <c r="I339" t="s">
        <v>97</v>
      </c>
      <c r="J339" s="32">
        <v>7</v>
      </c>
      <c r="K339" s="32">
        <v>21</v>
      </c>
      <c r="L339">
        <v>0</v>
      </c>
      <c r="N339">
        <v>0</v>
      </c>
      <c r="S339">
        <v>12</v>
      </c>
      <c r="U339">
        <v>0.75</v>
      </c>
      <c r="V339">
        <v>0.2</v>
      </c>
      <c r="W339">
        <v>0.31</v>
      </c>
      <c r="X339">
        <v>1</v>
      </c>
      <c r="Y339">
        <v>2.75</v>
      </c>
      <c r="Z339">
        <v>12.5</v>
      </c>
      <c r="AA339">
        <v>5.5</v>
      </c>
      <c r="AB339">
        <v>0.11</v>
      </c>
      <c r="AC339">
        <v>7.67</v>
      </c>
      <c r="AK339" t="s">
        <v>98</v>
      </c>
      <c r="AM339" t="s">
        <v>98</v>
      </c>
      <c r="AN339" t="s">
        <v>98</v>
      </c>
      <c r="AO339" t="s">
        <v>98</v>
      </c>
      <c r="AP339" t="s">
        <v>99</v>
      </c>
      <c r="AQ339" t="s">
        <v>102</v>
      </c>
      <c r="AV339" t="s">
        <v>98</v>
      </c>
      <c r="AX339" t="s">
        <v>956</v>
      </c>
      <c r="AZ339" t="s">
        <v>109</v>
      </c>
      <c r="BF339" t="s">
        <v>1180</v>
      </c>
      <c r="BG339" t="s">
        <v>98</v>
      </c>
      <c r="BH339" t="s">
        <v>98</v>
      </c>
      <c r="BI339" t="s">
        <v>98</v>
      </c>
      <c r="BJ339" t="s">
        <v>291</v>
      </c>
      <c r="BK339" t="s">
        <v>292</v>
      </c>
      <c r="CA339" t="s">
        <v>1033</v>
      </c>
      <c r="CB339" t="s">
        <v>956</v>
      </c>
      <c r="CL339" t="s">
        <v>98</v>
      </c>
      <c r="CM339" t="s">
        <v>98</v>
      </c>
      <c r="CN339" t="s">
        <v>349</v>
      </c>
      <c r="CO339" s="1">
        <v>42599</v>
      </c>
      <c r="CP339" s="1">
        <v>43595</v>
      </c>
    </row>
    <row r="340" spans="1:94" x14ac:dyDescent="0.25">
      <c r="A340" s="4" t="s">
        <v>1181</v>
      </c>
      <c r="B340" t="str">
        <f xml:space="preserve"> "" &amp; 706411020377</f>
        <v>706411020377</v>
      </c>
      <c r="C340" t="s">
        <v>786</v>
      </c>
      <c r="D340" t="s">
        <v>1182</v>
      </c>
      <c r="F340" t="s">
        <v>135</v>
      </c>
      <c r="G340">
        <v>1</v>
      </c>
      <c r="H340">
        <v>1</v>
      </c>
      <c r="I340" t="s">
        <v>97</v>
      </c>
      <c r="J340" s="32">
        <v>7</v>
      </c>
      <c r="K340" s="32">
        <v>21</v>
      </c>
      <c r="L340">
        <v>0</v>
      </c>
      <c r="N340">
        <v>0</v>
      </c>
      <c r="S340">
        <v>12</v>
      </c>
      <c r="U340">
        <v>0.75</v>
      </c>
      <c r="V340">
        <v>0.2</v>
      </c>
      <c r="W340">
        <v>0.31</v>
      </c>
      <c r="X340">
        <v>1</v>
      </c>
      <c r="Y340">
        <v>2.75</v>
      </c>
      <c r="Z340">
        <v>12.5</v>
      </c>
      <c r="AA340">
        <v>5.5</v>
      </c>
      <c r="AB340">
        <v>0.11</v>
      </c>
      <c r="AC340">
        <v>0.76600000000000001</v>
      </c>
      <c r="AK340" t="s">
        <v>98</v>
      </c>
      <c r="AM340" t="s">
        <v>98</v>
      </c>
      <c r="AN340" t="s">
        <v>98</v>
      </c>
      <c r="AO340" t="s">
        <v>98</v>
      </c>
      <c r="AP340" t="s">
        <v>99</v>
      </c>
      <c r="AQ340" t="s">
        <v>102</v>
      </c>
      <c r="AV340" t="s">
        <v>98</v>
      </c>
      <c r="AX340" t="s">
        <v>306</v>
      </c>
      <c r="BF340" t="s">
        <v>1183</v>
      </c>
      <c r="BG340" t="s">
        <v>98</v>
      </c>
      <c r="BH340" t="s">
        <v>98</v>
      </c>
      <c r="BI340" t="s">
        <v>98</v>
      </c>
      <c r="BK340" t="s">
        <v>138</v>
      </c>
      <c r="CA340" t="s">
        <v>1033</v>
      </c>
      <c r="CB340" t="s">
        <v>306</v>
      </c>
      <c r="CL340" t="s">
        <v>98</v>
      </c>
      <c r="CM340" t="s">
        <v>98</v>
      </c>
      <c r="CO340" s="1">
        <v>39728</v>
      </c>
      <c r="CP340" s="1">
        <v>43595</v>
      </c>
    </row>
    <row r="341" spans="1:94" x14ac:dyDescent="0.25">
      <c r="A341" s="4" t="s">
        <v>1184</v>
      </c>
      <c r="B341" t="str">
        <f xml:space="preserve"> "" &amp; 706411003110</f>
        <v>706411003110</v>
      </c>
      <c r="C341" t="s">
        <v>786</v>
      </c>
      <c r="D341" t="s">
        <v>1185</v>
      </c>
      <c r="F341" t="s">
        <v>135</v>
      </c>
      <c r="G341">
        <v>1</v>
      </c>
      <c r="H341">
        <v>1</v>
      </c>
      <c r="I341" t="s">
        <v>97</v>
      </c>
      <c r="J341" s="32">
        <v>10.5</v>
      </c>
      <c r="K341" s="32">
        <v>31.5</v>
      </c>
      <c r="L341">
        <v>0</v>
      </c>
      <c r="N341">
        <v>0</v>
      </c>
      <c r="S341">
        <v>12</v>
      </c>
      <c r="U341">
        <v>0.75</v>
      </c>
      <c r="V341">
        <v>0.2</v>
      </c>
      <c r="W341">
        <v>0.31</v>
      </c>
      <c r="X341">
        <v>1</v>
      </c>
      <c r="Y341">
        <v>2.75</v>
      </c>
      <c r="Z341">
        <v>18.5</v>
      </c>
      <c r="AA341">
        <v>5.5</v>
      </c>
      <c r="AB341">
        <v>0.16</v>
      </c>
      <c r="AC341">
        <v>1.1459999999999999</v>
      </c>
      <c r="AK341" t="s">
        <v>98</v>
      </c>
      <c r="AM341" t="s">
        <v>98</v>
      </c>
      <c r="AN341" t="s">
        <v>98</v>
      </c>
      <c r="AO341" t="s">
        <v>98</v>
      </c>
      <c r="AP341" t="s">
        <v>99</v>
      </c>
      <c r="AQ341" t="s">
        <v>102</v>
      </c>
      <c r="AV341" t="s">
        <v>98</v>
      </c>
      <c r="AX341" t="s">
        <v>302</v>
      </c>
      <c r="BF341" t="s">
        <v>1186</v>
      </c>
      <c r="BG341" t="s">
        <v>98</v>
      </c>
      <c r="BH341" t="s">
        <v>98</v>
      </c>
      <c r="BI341" t="s">
        <v>98</v>
      </c>
      <c r="CB341" t="s">
        <v>302</v>
      </c>
      <c r="CL341" t="s">
        <v>98</v>
      </c>
      <c r="CM341" t="s">
        <v>98</v>
      </c>
      <c r="CP341" s="1">
        <v>43595</v>
      </c>
    </row>
    <row r="342" spans="1:94" x14ac:dyDescent="0.25">
      <c r="A342" s="4" t="s">
        <v>1187</v>
      </c>
      <c r="B342" t="str">
        <f xml:space="preserve"> "" &amp; 706411050602</f>
        <v>706411050602</v>
      </c>
      <c r="C342" t="s">
        <v>786</v>
      </c>
      <c r="D342" t="s">
        <v>1188</v>
      </c>
      <c r="F342" t="s">
        <v>135</v>
      </c>
      <c r="G342">
        <v>1</v>
      </c>
      <c r="H342">
        <v>1</v>
      </c>
      <c r="I342" t="s">
        <v>97</v>
      </c>
      <c r="J342" s="32">
        <v>10.5</v>
      </c>
      <c r="K342" s="32">
        <v>31.5</v>
      </c>
      <c r="L342">
        <v>0</v>
      </c>
      <c r="N342">
        <v>0</v>
      </c>
      <c r="S342">
        <v>18</v>
      </c>
      <c r="U342">
        <v>0.75</v>
      </c>
      <c r="V342">
        <v>0.2</v>
      </c>
      <c r="W342">
        <v>1.08</v>
      </c>
      <c r="X342">
        <v>1</v>
      </c>
      <c r="Y342">
        <v>2.75</v>
      </c>
      <c r="Z342">
        <v>18.5</v>
      </c>
      <c r="AA342">
        <v>5.5</v>
      </c>
      <c r="AB342">
        <v>0.16</v>
      </c>
      <c r="AC342">
        <v>1.1459999999999999</v>
      </c>
      <c r="AK342" t="s">
        <v>98</v>
      </c>
      <c r="AM342" t="s">
        <v>98</v>
      </c>
      <c r="AN342" t="s">
        <v>98</v>
      </c>
      <c r="AO342" t="s">
        <v>98</v>
      </c>
      <c r="AP342" t="s">
        <v>99</v>
      </c>
      <c r="AQ342" t="s">
        <v>102</v>
      </c>
      <c r="AV342" t="s">
        <v>98</v>
      </c>
      <c r="AX342" t="s">
        <v>311</v>
      </c>
      <c r="BF342" t="s">
        <v>1189</v>
      </c>
      <c r="BG342" t="s">
        <v>98</v>
      </c>
      <c r="BH342" t="s">
        <v>98</v>
      </c>
      <c r="BI342" t="s">
        <v>98</v>
      </c>
      <c r="BJ342" t="s">
        <v>291</v>
      </c>
      <c r="BK342" t="s">
        <v>292</v>
      </c>
      <c r="CA342" t="s">
        <v>1190</v>
      </c>
      <c r="CB342" t="s">
        <v>311</v>
      </c>
      <c r="CL342" t="s">
        <v>98</v>
      </c>
      <c r="CM342" t="s">
        <v>98</v>
      </c>
      <c r="CN342" t="s">
        <v>700</v>
      </c>
      <c r="CO342" s="1">
        <v>43407</v>
      </c>
      <c r="CP342" s="1">
        <v>43595</v>
      </c>
    </row>
    <row r="343" spans="1:94" x14ac:dyDescent="0.25">
      <c r="A343" s="4" t="s">
        <v>1191</v>
      </c>
      <c r="B343" t="str">
        <f xml:space="preserve"> "" &amp; 706411019845</f>
        <v>706411019845</v>
      </c>
      <c r="C343" t="s">
        <v>786</v>
      </c>
      <c r="D343" t="s">
        <v>4369</v>
      </c>
      <c r="F343" t="s">
        <v>135</v>
      </c>
      <c r="G343">
        <v>1</v>
      </c>
      <c r="H343">
        <v>1</v>
      </c>
      <c r="I343" t="s">
        <v>97</v>
      </c>
      <c r="J343" s="32">
        <v>10.5</v>
      </c>
      <c r="K343" s="32">
        <v>31.5</v>
      </c>
      <c r="L343">
        <v>0</v>
      </c>
      <c r="N343">
        <v>0</v>
      </c>
      <c r="S343">
        <v>18</v>
      </c>
      <c r="U343">
        <v>0.75</v>
      </c>
      <c r="V343">
        <v>0.2</v>
      </c>
      <c r="W343">
        <v>1.08</v>
      </c>
      <c r="X343">
        <v>1</v>
      </c>
      <c r="Y343">
        <v>2.75</v>
      </c>
      <c r="Z343">
        <v>18.5</v>
      </c>
      <c r="AA343">
        <v>5.5</v>
      </c>
      <c r="AB343">
        <v>0.16</v>
      </c>
      <c r="AC343">
        <v>1.1459999999999999</v>
      </c>
      <c r="AK343" t="s">
        <v>98</v>
      </c>
      <c r="AM343" t="s">
        <v>98</v>
      </c>
      <c r="AN343" t="s">
        <v>98</v>
      </c>
      <c r="AO343" t="s">
        <v>98</v>
      </c>
      <c r="AP343" t="s">
        <v>99</v>
      </c>
      <c r="AQ343" t="s">
        <v>102</v>
      </c>
      <c r="AV343" t="s">
        <v>98</v>
      </c>
      <c r="AX343" t="s">
        <v>136</v>
      </c>
      <c r="BF343" t="s">
        <v>1192</v>
      </c>
      <c r="BG343" t="s">
        <v>98</v>
      </c>
      <c r="BH343" t="s">
        <v>98</v>
      </c>
      <c r="BI343" t="s">
        <v>98</v>
      </c>
      <c r="BK343" t="s">
        <v>138</v>
      </c>
      <c r="CA343" t="s">
        <v>1190</v>
      </c>
      <c r="CB343" t="s">
        <v>136</v>
      </c>
      <c r="CL343" t="s">
        <v>98</v>
      </c>
      <c r="CM343" t="s">
        <v>98</v>
      </c>
      <c r="CO343" s="1">
        <v>39728</v>
      </c>
      <c r="CP343" s="1">
        <v>43595</v>
      </c>
    </row>
    <row r="344" spans="1:94" x14ac:dyDescent="0.25">
      <c r="A344" s="4" t="s">
        <v>1193</v>
      </c>
      <c r="B344" t="str">
        <f xml:space="preserve"> "" &amp; 706411020506</f>
        <v>706411020506</v>
      </c>
      <c r="C344" t="s">
        <v>786</v>
      </c>
      <c r="D344" t="s">
        <v>4368</v>
      </c>
      <c r="F344" t="s">
        <v>135</v>
      </c>
      <c r="G344">
        <v>1</v>
      </c>
      <c r="H344">
        <v>1</v>
      </c>
      <c r="I344" t="s">
        <v>97</v>
      </c>
      <c r="J344" s="32">
        <v>10.5</v>
      </c>
      <c r="K344" s="32">
        <v>31.5</v>
      </c>
      <c r="L344">
        <v>0</v>
      </c>
      <c r="N344">
        <v>0</v>
      </c>
      <c r="S344">
        <v>18</v>
      </c>
      <c r="U344">
        <v>0.75</v>
      </c>
      <c r="V344">
        <v>0.2</v>
      </c>
      <c r="W344">
        <v>1.08</v>
      </c>
      <c r="X344">
        <v>1</v>
      </c>
      <c r="Y344">
        <v>2.75</v>
      </c>
      <c r="Z344">
        <v>18.5</v>
      </c>
      <c r="AA344">
        <v>5.5</v>
      </c>
      <c r="AB344">
        <v>0.16</v>
      </c>
      <c r="AC344">
        <v>1.1459999999999999</v>
      </c>
      <c r="AK344" t="s">
        <v>98</v>
      </c>
      <c r="AM344" t="s">
        <v>98</v>
      </c>
      <c r="AN344" t="s">
        <v>98</v>
      </c>
      <c r="AO344" t="s">
        <v>98</v>
      </c>
      <c r="AP344" t="s">
        <v>99</v>
      </c>
      <c r="AQ344" t="s">
        <v>102</v>
      </c>
      <c r="AV344" t="s">
        <v>98</v>
      </c>
      <c r="AX344" t="s">
        <v>317</v>
      </c>
      <c r="BF344" t="s">
        <v>1194</v>
      </c>
      <c r="BG344" t="s">
        <v>98</v>
      </c>
      <c r="BH344" t="s">
        <v>98</v>
      </c>
      <c r="BI344" t="s">
        <v>98</v>
      </c>
      <c r="BK344" t="s">
        <v>138</v>
      </c>
      <c r="CA344" t="s">
        <v>1190</v>
      </c>
      <c r="CB344" t="s">
        <v>317</v>
      </c>
      <c r="CL344" t="s">
        <v>98</v>
      </c>
      <c r="CM344" t="s">
        <v>98</v>
      </c>
      <c r="CO344" s="1">
        <v>39728</v>
      </c>
      <c r="CP344" s="1">
        <v>43595</v>
      </c>
    </row>
    <row r="345" spans="1:94" x14ac:dyDescent="0.25">
      <c r="A345" s="4" t="s">
        <v>1195</v>
      </c>
      <c r="B345" t="str">
        <f xml:space="preserve"> "" &amp; 706411035203</f>
        <v>706411035203</v>
      </c>
      <c r="C345" t="s">
        <v>786</v>
      </c>
      <c r="D345" t="s">
        <v>1196</v>
      </c>
      <c r="F345" t="s">
        <v>135</v>
      </c>
      <c r="G345">
        <v>1</v>
      </c>
      <c r="H345">
        <v>1</v>
      </c>
      <c r="I345" t="s">
        <v>97</v>
      </c>
      <c r="J345" s="32">
        <v>10.5</v>
      </c>
      <c r="K345" s="32">
        <v>31.5</v>
      </c>
      <c r="L345">
        <v>0</v>
      </c>
      <c r="N345">
        <v>0</v>
      </c>
      <c r="S345">
        <v>18</v>
      </c>
      <c r="U345">
        <v>0.75</v>
      </c>
      <c r="V345">
        <v>0.2</v>
      </c>
      <c r="W345">
        <v>1.08</v>
      </c>
      <c r="X345">
        <v>1</v>
      </c>
      <c r="Y345">
        <v>2.75</v>
      </c>
      <c r="Z345">
        <v>18.5</v>
      </c>
      <c r="AA345">
        <v>5.5</v>
      </c>
      <c r="AB345">
        <v>0.16</v>
      </c>
      <c r="AC345">
        <v>1.1459999999999999</v>
      </c>
      <c r="AK345" t="s">
        <v>98</v>
      </c>
      <c r="AM345" t="s">
        <v>98</v>
      </c>
      <c r="AN345" t="s">
        <v>98</v>
      </c>
      <c r="AO345" t="s">
        <v>98</v>
      </c>
      <c r="AP345" t="s">
        <v>99</v>
      </c>
      <c r="AQ345" t="s">
        <v>102</v>
      </c>
      <c r="AV345" t="s">
        <v>98</v>
      </c>
      <c r="BF345" t="s">
        <v>1197</v>
      </c>
      <c r="BG345" t="s">
        <v>98</v>
      </c>
      <c r="BH345" t="s">
        <v>98</v>
      </c>
      <c r="BI345" t="s">
        <v>98</v>
      </c>
      <c r="CL345" t="s">
        <v>98</v>
      </c>
      <c r="CM345" t="s">
        <v>98</v>
      </c>
      <c r="CP345" s="1">
        <v>43595</v>
      </c>
    </row>
    <row r="346" spans="1:94" x14ac:dyDescent="0.25">
      <c r="A346" s="4" t="s">
        <v>1198</v>
      </c>
      <c r="B346" t="str">
        <f xml:space="preserve"> "" &amp; 706411025426</f>
        <v>706411025426</v>
      </c>
      <c r="C346" t="s">
        <v>786</v>
      </c>
      <c r="D346" t="s">
        <v>1199</v>
      </c>
      <c r="F346" t="s">
        <v>135</v>
      </c>
      <c r="G346">
        <v>1</v>
      </c>
      <c r="H346">
        <v>1</v>
      </c>
      <c r="I346" t="s">
        <v>97</v>
      </c>
      <c r="J346" s="32">
        <v>10.5</v>
      </c>
      <c r="K346" s="32">
        <v>31.5</v>
      </c>
      <c r="L346">
        <v>0</v>
      </c>
      <c r="N346">
        <v>0</v>
      </c>
      <c r="S346">
        <v>18</v>
      </c>
      <c r="U346">
        <v>0.75</v>
      </c>
      <c r="V346">
        <v>0.2</v>
      </c>
      <c r="W346">
        <v>1.08</v>
      </c>
      <c r="X346">
        <v>1</v>
      </c>
      <c r="Y346">
        <v>2.75</v>
      </c>
      <c r="Z346">
        <v>18.5</v>
      </c>
      <c r="AA346">
        <v>5.5</v>
      </c>
      <c r="AB346">
        <v>0.16</v>
      </c>
      <c r="AC346">
        <v>1.1459999999999999</v>
      </c>
      <c r="AK346" t="s">
        <v>98</v>
      </c>
      <c r="AM346" t="s">
        <v>98</v>
      </c>
      <c r="AN346" t="s">
        <v>98</v>
      </c>
      <c r="AO346" t="s">
        <v>98</v>
      </c>
      <c r="AP346" t="s">
        <v>99</v>
      </c>
      <c r="AQ346" t="s">
        <v>102</v>
      </c>
      <c r="AV346" t="s">
        <v>98</v>
      </c>
      <c r="AX346" t="s">
        <v>146</v>
      </c>
      <c r="BF346" t="s">
        <v>1200</v>
      </c>
      <c r="BG346" t="s">
        <v>98</v>
      </c>
      <c r="BH346" t="s">
        <v>98</v>
      </c>
      <c r="BI346" t="s">
        <v>98</v>
      </c>
      <c r="BK346" t="s">
        <v>138</v>
      </c>
      <c r="CA346" t="s">
        <v>1190</v>
      </c>
      <c r="CB346" t="s">
        <v>146</v>
      </c>
      <c r="CL346" t="s">
        <v>98</v>
      </c>
      <c r="CM346" t="s">
        <v>98</v>
      </c>
      <c r="CO346" s="1">
        <v>39728</v>
      </c>
      <c r="CP346" s="1">
        <v>43595</v>
      </c>
    </row>
    <row r="347" spans="1:94" x14ac:dyDescent="0.25">
      <c r="A347" s="4" t="s">
        <v>1201</v>
      </c>
      <c r="B347" t="str">
        <f xml:space="preserve"> "" &amp; 706411003127</f>
        <v>706411003127</v>
      </c>
      <c r="C347" t="s">
        <v>786</v>
      </c>
      <c r="D347" t="s">
        <v>1202</v>
      </c>
      <c r="F347" t="s">
        <v>135</v>
      </c>
      <c r="G347">
        <v>1</v>
      </c>
      <c r="H347">
        <v>1</v>
      </c>
      <c r="I347" t="s">
        <v>97</v>
      </c>
      <c r="J347" s="32">
        <v>10.5</v>
      </c>
      <c r="K347" s="32">
        <v>31.5</v>
      </c>
      <c r="L347">
        <v>0</v>
      </c>
      <c r="N347">
        <v>0</v>
      </c>
      <c r="S347">
        <v>18</v>
      </c>
      <c r="U347">
        <v>0.75</v>
      </c>
      <c r="V347">
        <v>0.2</v>
      </c>
      <c r="W347">
        <v>1.08</v>
      </c>
      <c r="X347">
        <v>1</v>
      </c>
      <c r="Y347">
        <v>2.75</v>
      </c>
      <c r="Z347">
        <v>18.5</v>
      </c>
      <c r="AA347">
        <v>5.5</v>
      </c>
      <c r="AB347">
        <v>0.16</v>
      </c>
      <c r="AC347">
        <v>1.1459999999999999</v>
      </c>
      <c r="AK347" t="s">
        <v>98</v>
      </c>
      <c r="AM347" t="s">
        <v>98</v>
      </c>
      <c r="AN347" t="s">
        <v>98</v>
      </c>
      <c r="AO347" t="s">
        <v>98</v>
      </c>
      <c r="AP347" t="s">
        <v>99</v>
      </c>
      <c r="AQ347" t="s">
        <v>102</v>
      </c>
      <c r="AV347" t="s">
        <v>98</v>
      </c>
      <c r="AX347" t="s">
        <v>150</v>
      </c>
      <c r="BF347" t="s">
        <v>1203</v>
      </c>
      <c r="BG347" t="s">
        <v>98</v>
      </c>
      <c r="BH347" t="s">
        <v>98</v>
      </c>
      <c r="BI347" t="s">
        <v>98</v>
      </c>
      <c r="CB347" t="s">
        <v>150</v>
      </c>
      <c r="CL347" t="s">
        <v>98</v>
      </c>
      <c r="CM347" t="s">
        <v>98</v>
      </c>
      <c r="CP347" s="1">
        <v>43595</v>
      </c>
    </row>
    <row r="348" spans="1:94" x14ac:dyDescent="0.25">
      <c r="A348" s="4" t="s">
        <v>1204</v>
      </c>
      <c r="B348" t="str">
        <f xml:space="preserve"> "" &amp; 706411056772</f>
        <v>706411056772</v>
      </c>
      <c r="C348" t="s">
        <v>786</v>
      </c>
      <c r="D348" t="s">
        <v>1205</v>
      </c>
      <c r="F348" t="s">
        <v>135</v>
      </c>
      <c r="G348">
        <v>1</v>
      </c>
      <c r="H348">
        <v>1</v>
      </c>
      <c r="I348" t="s">
        <v>97</v>
      </c>
      <c r="J348" s="32">
        <v>10.5</v>
      </c>
      <c r="K348" s="32">
        <v>31.5</v>
      </c>
      <c r="L348">
        <v>0</v>
      </c>
      <c r="N348">
        <v>0</v>
      </c>
      <c r="S348">
        <v>18</v>
      </c>
      <c r="U348">
        <v>0.75</v>
      </c>
      <c r="V348">
        <v>0.2</v>
      </c>
      <c r="W348">
        <v>1.08</v>
      </c>
      <c r="X348">
        <v>1</v>
      </c>
      <c r="Y348">
        <v>2.75</v>
      </c>
      <c r="Z348">
        <v>18.5</v>
      </c>
      <c r="AA348">
        <v>5.5</v>
      </c>
      <c r="AB348">
        <v>0.16</v>
      </c>
      <c r="AC348">
        <v>1.1459999999999999</v>
      </c>
      <c r="AK348" t="s">
        <v>98</v>
      </c>
      <c r="AM348" t="s">
        <v>98</v>
      </c>
      <c r="AN348" t="s">
        <v>98</v>
      </c>
      <c r="AO348" t="s">
        <v>98</v>
      </c>
      <c r="AP348" t="s">
        <v>99</v>
      </c>
      <c r="AQ348" t="s">
        <v>102</v>
      </c>
      <c r="AV348" t="s">
        <v>98</v>
      </c>
      <c r="AX348" t="s">
        <v>154</v>
      </c>
      <c r="BF348" t="s">
        <v>1206</v>
      </c>
      <c r="BG348" t="s">
        <v>98</v>
      </c>
      <c r="BH348" t="s">
        <v>98</v>
      </c>
      <c r="BI348" t="s">
        <v>98</v>
      </c>
      <c r="BK348" t="s">
        <v>138</v>
      </c>
      <c r="CB348" t="s">
        <v>154</v>
      </c>
      <c r="CL348" t="s">
        <v>98</v>
      </c>
      <c r="CM348" t="s">
        <v>98</v>
      </c>
      <c r="CN348" t="s">
        <v>349</v>
      </c>
      <c r="CO348" s="1">
        <v>43147</v>
      </c>
      <c r="CP348" s="1">
        <v>43595</v>
      </c>
    </row>
    <row r="349" spans="1:94" x14ac:dyDescent="0.25">
      <c r="A349" s="4" t="s">
        <v>1207</v>
      </c>
      <c r="B349" t="str">
        <f xml:space="preserve"> "" &amp; 706411027437</f>
        <v>706411027437</v>
      </c>
      <c r="C349" t="s">
        <v>786</v>
      </c>
      <c r="D349" t="s">
        <v>1208</v>
      </c>
      <c r="F349" t="s">
        <v>135</v>
      </c>
      <c r="G349">
        <v>1</v>
      </c>
      <c r="H349">
        <v>1</v>
      </c>
      <c r="I349" t="s">
        <v>97</v>
      </c>
      <c r="J349" s="32">
        <v>10.5</v>
      </c>
      <c r="K349" s="32">
        <v>31.5</v>
      </c>
      <c r="L349">
        <v>0</v>
      </c>
      <c r="N349">
        <v>0</v>
      </c>
      <c r="S349">
        <v>18</v>
      </c>
      <c r="U349">
        <v>0.75</v>
      </c>
      <c r="V349">
        <v>0.2</v>
      </c>
      <c r="W349">
        <v>1.08</v>
      </c>
      <c r="X349">
        <v>1</v>
      </c>
      <c r="Y349">
        <v>2.75</v>
      </c>
      <c r="Z349">
        <v>18.5</v>
      </c>
      <c r="AA349">
        <v>5.5</v>
      </c>
      <c r="AB349">
        <v>0.16</v>
      </c>
      <c r="AC349">
        <v>1.1459999999999999</v>
      </c>
      <c r="AK349" t="s">
        <v>98</v>
      </c>
      <c r="AM349" t="s">
        <v>98</v>
      </c>
      <c r="AN349" t="s">
        <v>98</v>
      </c>
      <c r="AO349" t="s">
        <v>98</v>
      </c>
      <c r="AP349" t="s">
        <v>99</v>
      </c>
      <c r="AQ349" t="s">
        <v>102</v>
      </c>
      <c r="AV349" t="s">
        <v>98</v>
      </c>
      <c r="AX349" t="s">
        <v>159</v>
      </c>
      <c r="BF349" t="s">
        <v>1209</v>
      </c>
      <c r="BG349" t="s">
        <v>98</v>
      </c>
      <c r="BH349" t="s">
        <v>98</v>
      </c>
      <c r="BI349" t="s">
        <v>98</v>
      </c>
      <c r="BK349" t="s">
        <v>138</v>
      </c>
      <c r="CA349" t="s">
        <v>1190</v>
      </c>
      <c r="CB349" t="s">
        <v>159</v>
      </c>
      <c r="CL349" t="s">
        <v>98</v>
      </c>
      <c r="CM349" t="s">
        <v>98</v>
      </c>
      <c r="CO349" s="1">
        <v>39728</v>
      </c>
      <c r="CP349" s="1">
        <v>43595</v>
      </c>
    </row>
    <row r="350" spans="1:94" x14ac:dyDescent="0.25">
      <c r="A350" s="4" t="s">
        <v>1210</v>
      </c>
      <c r="B350" t="str">
        <f xml:space="preserve"> "" &amp; 706411025495</f>
        <v>706411025495</v>
      </c>
      <c r="C350" t="s">
        <v>786</v>
      </c>
      <c r="D350" t="s">
        <v>1211</v>
      </c>
      <c r="F350" t="s">
        <v>135</v>
      </c>
      <c r="G350">
        <v>1</v>
      </c>
      <c r="H350">
        <v>1</v>
      </c>
      <c r="I350" t="s">
        <v>97</v>
      </c>
      <c r="J350" s="32">
        <v>10.5</v>
      </c>
      <c r="K350" s="32">
        <v>31.5</v>
      </c>
      <c r="L350">
        <v>0</v>
      </c>
      <c r="N350">
        <v>0</v>
      </c>
      <c r="S350">
        <v>18</v>
      </c>
      <c r="U350">
        <v>0.75</v>
      </c>
      <c r="V350">
        <v>0.2</v>
      </c>
      <c r="W350">
        <v>1.08</v>
      </c>
      <c r="X350">
        <v>1</v>
      </c>
      <c r="Y350">
        <v>2.75</v>
      </c>
      <c r="Z350">
        <v>18.5</v>
      </c>
      <c r="AA350">
        <v>5.5</v>
      </c>
      <c r="AB350">
        <v>0.16</v>
      </c>
      <c r="AC350">
        <v>1.1459999999999999</v>
      </c>
      <c r="AK350" t="s">
        <v>98</v>
      </c>
      <c r="AM350" t="s">
        <v>98</v>
      </c>
      <c r="AN350" t="s">
        <v>98</v>
      </c>
      <c r="AO350" t="s">
        <v>98</v>
      </c>
      <c r="AP350" t="s">
        <v>99</v>
      </c>
      <c r="AQ350" t="s">
        <v>102</v>
      </c>
      <c r="AV350" t="s">
        <v>98</v>
      </c>
      <c r="AX350" t="s">
        <v>163</v>
      </c>
      <c r="BF350" t="s">
        <v>1212</v>
      </c>
      <c r="BG350" t="s">
        <v>98</v>
      </c>
      <c r="BH350" t="s">
        <v>98</v>
      </c>
      <c r="BI350" t="s">
        <v>98</v>
      </c>
      <c r="BK350" t="s">
        <v>138</v>
      </c>
      <c r="CA350" t="s">
        <v>1190</v>
      </c>
      <c r="CB350" t="s">
        <v>163</v>
      </c>
      <c r="CL350" t="s">
        <v>98</v>
      </c>
      <c r="CM350" t="s">
        <v>98</v>
      </c>
      <c r="CO350" s="1">
        <v>39728</v>
      </c>
      <c r="CP350" s="1">
        <v>43595</v>
      </c>
    </row>
    <row r="351" spans="1:94" x14ac:dyDescent="0.25">
      <c r="A351" s="4" t="s">
        <v>1213</v>
      </c>
      <c r="B351" t="str">
        <f xml:space="preserve"> "" &amp; 706411044564</f>
        <v>706411044564</v>
      </c>
      <c r="C351" t="s">
        <v>786</v>
      </c>
      <c r="D351" t="s">
        <v>1214</v>
      </c>
      <c r="F351" t="s">
        <v>135</v>
      </c>
      <c r="G351">
        <v>1</v>
      </c>
      <c r="H351">
        <v>1</v>
      </c>
      <c r="I351" t="s">
        <v>97</v>
      </c>
      <c r="J351" s="32">
        <v>10.5</v>
      </c>
      <c r="K351" s="32">
        <v>31.5</v>
      </c>
      <c r="L351">
        <v>0</v>
      </c>
      <c r="N351">
        <v>0</v>
      </c>
      <c r="S351">
        <v>18</v>
      </c>
      <c r="U351">
        <v>0.75</v>
      </c>
      <c r="V351">
        <v>0.2</v>
      </c>
      <c r="W351">
        <v>1.08</v>
      </c>
      <c r="X351">
        <v>1</v>
      </c>
      <c r="Y351">
        <v>2.75</v>
      </c>
      <c r="Z351">
        <v>18.5</v>
      </c>
      <c r="AA351">
        <v>5.5</v>
      </c>
      <c r="AB351">
        <v>0.16</v>
      </c>
      <c r="AC351">
        <v>1.1459999999999999</v>
      </c>
      <c r="AK351" t="s">
        <v>98</v>
      </c>
      <c r="AM351" t="s">
        <v>98</v>
      </c>
      <c r="AN351" t="s">
        <v>98</v>
      </c>
      <c r="AO351" t="s">
        <v>98</v>
      </c>
      <c r="AP351" t="s">
        <v>99</v>
      </c>
      <c r="AQ351" t="s">
        <v>102</v>
      </c>
      <c r="AV351" t="s">
        <v>98</v>
      </c>
      <c r="AX351" t="s">
        <v>167</v>
      </c>
      <c r="BF351" t="s">
        <v>1215</v>
      </c>
      <c r="BG351" t="s">
        <v>98</v>
      </c>
      <c r="BH351" t="s">
        <v>98</v>
      </c>
      <c r="BI351" t="s">
        <v>98</v>
      </c>
      <c r="BJ351" t="s">
        <v>291</v>
      </c>
      <c r="BK351" t="s">
        <v>292</v>
      </c>
      <c r="CA351" t="s">
        <v>1190</v>
      </c>
      <c r="CB351" t="s">
        <v>167</v>
      </c>
      <c r="CL351" t="s">
        <v>98</v>
      </c>
      <c r="CM351" t="s">
        <v>98</v>
      </c>
      <c r="CN351" t="s">
        <v>349</v>
      </c>
      <c r="CP351" s="1">
        <v>43595</v>
      </c>
    </row>
    <row r="352" spans="1:94" x14ac:dyDescent="0.25">
      <c r="A352" s="4" t="s">
        <v>1216</v>
      </c>
      <c r="B352" t="str">
        <f xml:space="preserve"> "" &amp; 706411043116</f>
        <v>706411043116</v>
      </c>
      <c r="C352" t="s">
        <v>786</v>
      </c>
      <c r="D352" t="s">
        <v>1217</v>
      </c>
      <c r="F352" t="s">
        <v>135</v>
      </c>
      <c r="G352">
        <v>1</v>
      </c>
      <c r="H352">
        <v>1</v>
      </c>
      <c r="I352" t="s">
        <v>97</v>
      </c>
      <c r="J352" s="32">
        <v>10.5</v>
      </c>
      <c r="K352" s="32">
        <v>31.5</v>
      </c>
      <c r="L352">
        <v>0</v>
      </c>
      <c r="N352">
        <v>0</v>
      </c>
      <c r="S352">
        <v>18</v>
      </c>
      <c r="U352">
        <v>0.75</v>
      </c>
      <c r="V352">
        <v>0.2</v>
      </c>
      <c r="W352">
        <v>1.08</v>
      </c>
      <c r="X352">
        <v>1</v>
      </c>
      <c r="Y352">
        <v>2.75</v>
      </c>
      <c r="Z352">
        <v>18.5</v>
      </c>
      <c r="AA352">
        <v>5.5</v>
      </c>
      <c r="AB352">
        <v>0.16</v>
      </c>
      <c r="AC352">
        <v>1.1459999999999999</v>
      </c>
      <c r="AK352" t="s">
        <v>98</v>
      </c>
      <c r="AM352" t="s">
        <v>98</v>
      </c>
      <c r="AN352" t="s">
        <v>98</v>
      </c>
      <c r="AO352" t="s">
        <v>98</v>
      </c>
      <c r="AP352" t="s">
        <v>99</v>
      </c>
      <c r="AQ352" t="s">
        <v>102</v>
      </c>
      <c r="AV352" t="s">
        <v>98</v>
      </c>
      <c r="AX352" t="s">
        <v>171</v>
      </c>
      <c r="BF352" t="s">
        <v>1218</v>
      </c>
      <c r="BG352" t="s">
        <v>98</v>
      </c>
      <c r="BH352" t="s">
        <v>98</v>
      </c>
      <c r="BI352" t="s">
        <v>98</v>
      </c>
      <c r="CB352" t="s">
        <v>171</v>
      </c>
      <c r="CL352" t="s">
        <v>98</v>
      </c>
      <c r="CM352" t="s">
        <v>98</v>
      </c>
      <c r="CP352" s="1">
        <v>43595</v>
      </c>
    </row>
    <row r="353" spans="1:94" x14ac:dyDescent="0.25">
      <c r="A353" s="4" t="s">
        <v>1219</v>
      </c>
      <c r="B353" t="str">
        <f xml:space="preserve"> "" &amp; 706411035296</f>
        <v>706411035296</v>
      </c>
      <c r="C353" t="s">
        <v>786</v>
      </c>
      <c r="D353" t="s">
        <v>1220</v>
      </c>
      <c r="F353" t="s">
        <v>135</v>
      </c>
      <c r="G353">
        <v>1</v>
      </c>
      <c r="H353">
        <v>1</v>
      </c>
      <c r="I353" t="s">
        <v>97</v>
      </c>
      <c r="J353" s="32">
        <v>10.5</v>
      </c>
      <c r="K353" s="32">
        <v>31.5</v>
      </c>
      <c r="L353">
        <v>0</v>
      </c>
      <c r="N353">
        <v>0</v>
      </c>
      <c r="S353">
        <v>18</v>
      </c>
      <c r="U353">
        <v>0.75</v>
      </c>
      <c r="V353">
        <v>0.2</v>
      </c>
      <c r="W353">
        <v>1.08</v>
      </c>
      <c r="X353">
        <v>1</v>
      </c>
      <c r="Y353">
        <v>2.75</v>
      </c>
      <c r="Z353">
        <v>18.5</v>
      </c>
      <c r="AA353">
        <v>5.5</v>
      </c>
      <c r="AB353">
        <v>0.16</v>
      </c>
      <c r="AC353">
        <v>1.1459999999999999</v>
      </c>
      <c r="AK353" t="s">
        <v>98</v>
      </c>
      <c r="AM353" t="s">
        <v>98</v>
      </c>
      <c r="AN353" t="s">
        <v>98</v>
      </c>
      <c r="AO353" t="s">
        <v>98</v>
      </c>
      <c r="AP353" t="s">
        <v>99</v>
      </c>
      <c r="AQ353" t="s">
        <v>102</v>
      </c>
      <c r="AV353" t="s">
        <v>98</v>
      </c>
      <c r="AX353" t="s">
        <v>175</v>
      </c>
      <c r="BF353" t="s">
        <v>1221</v>
      </c>
      <c r="BG353" t="s">
        <v>98</v>
      </c>
      <c r="BH353" t="s">
        <v>98</v>
      </c>
      <c r="BI353" t="s">
        <v>98</v>
      </c>
      <c r="BK353" t="s">
        <v>138</v>
      </c>
      <c r="CA353" t="s">
        <v>1190</v>
      </c>
      <c r="CB353" t="s">
        <v>175</v>
      </c>
      <c r="CL353" t="s">
        <v>98</v>
      </c>
      <c r="CM353" t="s">
        <v>98</v>
      </c>
      <c r="CO353" s="1">
        <v>39728</v>
      </c>
      <c r="CP353" s="1">
        <v>43595</v>
      </c>
    </row>
    <row r="354" spans="1:94" x14ac:dyDescent="0.25">
      <c r="A354" s="4" t="s">
        <v>1222</v>
      </c>
      <c r="B354" t="str">
        <f xml:space="preserve"> "" &amp; 706411061103</f>
        <v>706411061103</v>
      </c>
      <c r="C354" t="s">
        <v>786</v>
      </c>
      <c r="D354" t="s">
        <v>1223</v>
      </c>
      <c r="F354" t="s">
        <v>135</v>
      </c>
      <c r="G354">
        <v>1</v>
      </c>
      <c r="H354">
        <v>1</v>
      </c>
      <c r="I354" t="s">
        <v>97</v>
      </c>
      <c r="J354" s="32">
        <v>10.5</v>
      </c>
      <c r="K354" s="32">
        <v>31.5</v>
      </c>
      <c r="L354">
        <v>0</v>
      </c>
      <c r="N354">
        <v>0</v>
      </c>
      <c r="S354">
        <v>18</v>
      </c>
      <c r="U354">
        <v>0.75</v>
      </c>
      <c r="V354">
        <v>0.2</v>
      </c>
      <c r="W354">
        <v>1.08</v>
      </c>
      <c r="X354">
        <v>1</v>
      </c>
      <c r="Y354">
        <v>2.75</v>
      </c>
      <c r="Z354">
        <v>18.5</v>
      </c>
      <c r="AA354">
        <v>5.5</v>
      </c>
      <c r="AB354">
        <v>0.16</v>
      </c>
      <c r="AC354">
        <v>1.1459999999999999</v>
      </c>
      <c r="AK354" t="s">
        <v>98</v>
      </c>
      <c r="AM354" t="s">
        <v>98</v>
      </c>
      <c r="AN354" t="s">
        <v>98</v>
      </c>
      <c r="AO354" t="s">
        <v>98</v>
      </c>
      <c r="AP354" t="s">
        <v>99</v>
      </c>
      <c r="AQ354" t="s">
        <v>102</v>
      </c>
      <c r="AV354" t="s">
        <v>98</v>
      </c>
      <c r="AX354" t="s">
        <v>179</v>
      </c>
      <c r="BF354" t="s">
        <v>1224</v>
      </c>
      <c r="BG354" t="s">
        <v>98</v>
      </c>
      <c r="BH354" t="s">
        <v>98</v>
      </c>
      <c r="BI354" t="s">
        <v>98</v>
      </c>
      <c r="BK354" t="s">
        <v>138</v>
      </c>
      <c r="CA354" t="s">
        <v>1190</v>
      </c>
      <c r="CB354" t="s">
        <v>179</v>
      </c>
      <c r="CL354" t="s">
        <v>98</v>
      </c>
      <c r="CM354" t="s">
        <v>98</v>
      </c>
      <c r="CN354" t="s">
        <v>349</v>
      </c>
      <c r="CO354" s="1">
        <v>43536</v>
      </c>
      <c r="CP354" s="1">
        <v>43595</v>
      </c>
    </row>
    <row r="355" spans="1:94" x14ac:dyDescent="0.25">
      <c r="A355" s="4" t="s">
        <v>1225</v>
      </c>
      <c r="B355" t="str">
        <f xml:space="preserve"> "" &amp; 706411035234</f>
        <v>706411035234</v>
      </c>
      <c r="C355" t="s">
        <v>786</v>
      </c>
      <c r="D355" t="s">
        <v>1226</v>
      </c>
      <c r="F355" t="s">
        <v>135</v>
      </c>
      <c r="G355">
        <v>1</v>
      </c>
      <c r="H355">
        <v>1</v>
      </c>
      <c r="I355" t="s">
        <v>97</v>
      </c>
      <c r="J355" s="32">
        <v>10.5</v>
      </c>
      <c r="K355" s="32">
        <v>31.5</v>
      </c>
      <c r="L355">
        <v>0</v>
      </c>
      <c r="N355">
        <v>0</v>
      </c>
      <c r="S355">
        <v>18</v>
      </c>
      <c r="U355">
        <v>0.75</v>
      </c>
      <c r="V355">
        <v>0.2</v>
      </c>
      <c r="W355">
        <v>1.08</v>
      </c>
      <c r="X355">
        <v>1</v>
      </c>
      <c r="Y355">
        <v>2.75</v>
      </c>
      <c r="Z355">
        <v>18.5</v>
      </c>
      <c r="AA355">
        <v>5.5</v>
      </c>
      <c r="AB355">
        <v>0.16</v>
      </c>
      <c r="AC355">
        <v>1.1459999999999999</v>
      </c>
      <c r="AK355" t="s">
        <v>98</v>
      </c>
      <c r="AM355" t="s">
        <v>98</v>
      </c>
      <c r="AN355" t="s">
        <v>98</v>
      </c>
      <c r="AO355" t="s">
        <v>98</v>
      </c>
      <c r="AP355" t="s">
        <v>99</v>
      </c>
      <c r="AQ355" t="s">
        <v>102</v>
      </c>
      <c r="AV355" t="s">
        <v>98</v>
      </c>
      <c r="AX355" t="s">
        <v>183</v>
      </c>
      <c r="BF355" t="s">
        <v>1227</v>
      </c>
      <c r="BG355" t="s">
        <v>98</v>
      </c>
      <c r="BH355" t="s">
        <v>98</v>
      </c>
      <c r="BI355" t="s">
        <v>98</v>
      </c>
      <c r="BK355" t="s">
        <v>138</v>
      </c>
      <c r="CA355" t="s">
        <v>1190</v>
      </c>
      <c r="CB355" t="s">
        <v>183</v>
      </c>
      <c r="CL355" t="s">
        <v>98</v>
      </c>
      <c r="CM355" t="s">
        <v>98</v>
      </c>
      <c r="CO355" s="1">
        <v>39728</v>
      </c>
      <c r="CP355" s="1">
        <v>43595</v>
      </c>
    </row>
    <row r="356" spans="1:94" x14ac:dyDescent="0.25">
      <c r="A356" s="4" t="s">
        <v>1228</v>
      </c>
      <c r="B356" t="str">
        <f xml:space="preserve"> "" &amp; 706411031250</f>
        <v>706411031250</v>
      </c>
      <c r="C356" t="s">
        <v>786</v>
      </c>
      <c r="D356" t="s">
        <v>4370</v>
      </c>
      <c r="F356" t="s">
        <v>135</v>
      </c>
      <c r="G356">
        <v>1</v>
      </c>
      <c r="H356">
        <v>1</v>
      </c>
      <c r="I356" t="s">
        <v>97</v>
      </c>
      <c r="J356" s="32">
        <v>10.5</v>
      </c>
      <c r="K356" s="32">
        <v>31.5</v>
      </c>
      <c r="L356">
        <v>0</v>
      </c>
      <c r="N356">
        <v>0</v>
      </c>
      <c r="S356">
        <v>18</v>
      </c>
      <c r="U356">
        <v>0.75</v>
      </c>
      <c r="V356">
        <v>0.2</v>
      </c>
      <c r="W356">
        <v>1.08</v>
      </c>
      <c r="X356">
        <v>1</v>
      </c>
      <c r="Y356">
        <v>2.75</v>
      </c>
      <c r="Z356">
        <v>18.5</v>
      </c>
      <c r="AA356">
        <v>5.5</v>
      </c>
      <c r="AB356">
        <v>0.16</v>
      </c>
      <c r="AC356">
        <v>1.1459999999999999</v>
      </c>
      <c r="AK356" t="s">
        <v>98</v>
      </c>
      <c r="AM356" t="s">
        <v>98</v>
      </c>
      <c r="AN356" t="s">
        <v>98</v>
      </c>
      <c r="AO356" t="s">
        <v>98</v>
      </c>
      <c r="AP356" t="s">
        <v>99</v>
      </c>
      <c r="AQ356" t="s">
        <v>102</v>
      </c>
      <c r="AV356" t="s">
        <v>98</v>
      </c>
      <c r="AX356" t="s">
        <v>186</v>
      </c>
      <c r="BF356" t="s">
        <v>1229</v>
      </c>
      <c r="BG356" t="s">
        <v>98</v>
      </c>
      <c r="BH356" t="s">
        <v>98</v>
      </c>
      <c r="BI356" t="s">
        <v>98</v>
      </c>
      <c r="BK356" t="s">
        <v>138</v>
      </c>
      <c r="CA356" t="s">
        <v>1190</v>
      </c>
      <c r="CB356" t="s">
        <v>186</v>
      </c>
      <c r="CL356" t="s">
        <v>98</v>
      </c>
      <c r="CM356" t="s">
        <v>98</v>
      </c>
      <c r="CO356" s="1">
        <v>39728</v>
      </c>
      <c r="CP356" s="1">
        <v>43595</v>
      </c>
    </row>
    <row r="357" spans="1:94" x14ac:dyDescent="0.25">
      <c r="A357" s="4" t="s">
        <v>1230</v>
      </c>
      <c r="B357" t="str">
        <f xml:space="preserve"> "" &amp; 706411038938</f>
        <v>706411038938</v>
      </c>
      <c r="C357" t="s">
        <v>786</v>
      </c>
      <c r="D357" t="s">
        <v>1231</v>
      </c>
      <c r="F357" t="s">
        <v>135</v>
      </c>
      <c r="G357">
        <v>1</v>
      </c>
      <c r="H357">
        <v>1</v>
      </c>
      <c r="I357" t="s">
        <v>97</v>
      </c>
      <c r="J357" s="32">
        <v>10.5</v>
      </c>
      <c r="K357" s="32">
        <v>31.5</v>
      </c>
      <c r="L357">
        <v>0</v>
      </c>
      <c r="N357">
        <v>0</v>
      </c>
      <c r="S357">
        <v>18</v>
      </c>
      <c r="U357">
        <v>0.75</v>
      </c>
      <c r="V357">
        <v>0.2</v>
      </c>
      <c r="W357">
        <v>1.08</v>
      </c>
      <c r="X357">
        <v>1</v>
      </c>
      <c r="Y357">
        <v>2.75</v>
      </c>
      <c r="Z357">
        <v>18.5</v>
      </c>
      <c r="AA357">
        <v>5.5</v>
      </c>
      <c r="AB357">
        <v>0.16</v>
      </c>
      <c r="AC357">
        <v>1.1459999999999999</v>
      </c>
      <c r="AK357" t="s">
        <v>98</v>
      </c>
      <c r="AM357" t="s">
        <v>98</v>
      </c>
      <c r="AN357" t="s">
        <v>98</v>
      </c>
      <c r="AO357" t="s">
        <v>98</v>
      </c>
      <c r="AP357" t="s">
        <v>99</v>
      </c>
      <c r="AQ357" t="s">
        <v>102</v>
      </c>
      <c r="AV357" t="s">
        <v>98</v>
      </c>
      <c r="AX357" t="s">
        <v>190</v>
      </c>
      <c r="BF357" t="s">
        <v>1232</v>
      </c>
      <c r="BG357" t="s">
        <v>98</v>
      </c>
      <c r="BH357" t="s">
        <v>98</v>
      </c>
      <c r="BI357" t="s">
        <v>98</v>
      </c>
      <c r="BK357" t="s">
        <v>138</v>
      </c>
      <c r="CA357" t="s">
        <v>1190</v>
      </c>
      <c r="CB357" t="s">
        <v>190</v>
      </c>
      <c r="CL357" t="s">
        <v>98</v>
      </c>
      <c r="CM357" t="s">
        <v>98</v>
      </c>
      <c r="CO357" s="1">
        <v>40841</v>
      </c>
      <c r="CP357" s="1">
        <v>43595</v>
      </c>
    </row>
    <row r="358" spans="1:94" x14ac:dyDescent="0.25">
      <c r="A358" s="4" t="s">
        <v>1233</v>
      </c>
      <c r="B358" t="str">
        <f xml:space="preserve"> "" &amp; 706411026645</f>
        <v>706411026645</v>
      </c>
      <c r="C358" t="s">
        <v>786</v>
      </c>
      <c r="D358" t="s">
        <v>4371</v>
      </c>
      <c r="F358" t="s">
        <v>135</v>
      </c>
      <c r="G358">
        <v>1</v>
      </c>
      <c r="H358">
        <v>1</v>
      </c>
      <c r="I358" t="s">
        <v>97</v>
      </c>
      <c r="J358" s="32">
        <v>10.5</v>
      </c>
      <c r="K358" s="32">
        <v>31.5</v>
      </c>
      <c r="L358">
        <v>0</v>
      </c>
      <c r="N358">
        <v>0</v>
      </c>
      <c r="S358">
        <v>18</v>
      </c>
      <c r="U358">
        <v>0.75</v>
      </c>
      <c r="V358">
        <v>0.2</v>
      </c>
      <c r="W358">
        <v>1.08</v>
      </c>
      <c r="X358">
        <v>1</v>
      </c>
      <c r="Y358">
        <v>2.75</v>
      </c>
      <c r="Z358">
        <v>18.5</v>
      </c>
      <c r="AA358">
        <v>5.5</v>
      </c>
      <c r="AB358">
        <v>0.16</v>
      </c>
      <c r="AC358">
        <v>1.1459999999999999</v>
      </c>
      <c r="AK358" t="s">
        <v>98</v>
      </c>
      <c r="AM358" t="s">
        <v>98</v>
      </c>
      <c r="AN358" t="s">
        <v>98</v>
      </c>
      <c r="AO358" t="s">
        <v>98</v>
      </c>
      <c r="AP358" t="s">
        <v>99</v>
      </c>
      <c r="AQ358" t="s">
        <v>102</v>
      </c>
      <c r="AV358" t="s">
        <v>98</v>
      </c>
      <c r="AX358" t="s">
        <v>193</v>
      </c>
      <c r="BF358" t="s">
        <v>1234</v>
      </c>
      <c r="BG358" t="s">
        <v>98</v>
      </c>
      <c r="BH358" t="s">
        <v>98</v>
      </c>
      <c r="BI358" t="s">
        <v>98</v>
      </c>
      <c r="BK358" t="s">
        <v>138</v>
      </c>
      <c r="CA358" t="s">
        <v>1190</v>
      </c>
      <c r="CB358" t="s">
        <v>193</v>
      </c>
      <c r="CL358" t="s">
        <v>98</v>
      </c>
      <c r="CM358" t="s">
        <v>98</v>
      </c>
      <c r="CO358" s="1">
        <v>39728</v>
      </c>
      <c r="CP358" s="1">
        <v>43595</v>
      </c>
    </row>
    <row r="359" spans="1:94" x14ac:dyDescent="0.25">
      <c r="A359" s="4" t="s">
        <v>1235</v>
      </c>
      <c r="B359" t="str">
        <f xml:space="preserve"> "" &amp; 706411052309</f>
        <v>706411052309</v>
      </c>
      <c r="C359" t="s">
        <v>786</v>
      </c>
      <c r="D359" t="s">
        <v>1236</v>
      </c>
      <c r="F359" t="s">
        <v>135</v>
      </c>
      <c r="G359">
        <v>1</v>
      </c>
      <c r="H359">
        <v>1</v>
      </c>
      <c r="I359" t="s">
        <v>97</v>
      </c>
      <c r="J359" s="32">
        <v>10.5</v>
      </c>
      <c r="K359" s="32">
        <v>31.5</v>
      </c>
      <c r="L359">
        <v>0</v>
      </c>
      <c r="N359">
        <v>0</v>
      </c>
      <c r="S359">
        <v>18</v>
      </c>
      <c r="U359">
        <v>0.75</v>
      </c>
      <c r="V359">
        <v>0.2</v>
      </c>
      <c r="W359">
        <v>1.08</v>
      </c>
      <c r="X359">
        <v>1</v>
      </c>
      <c r="Y359">
        <v>2.75</v>
      </c>
      <c r="Z359">
        <v>18.5</v>
      </c>
      <c r="AA359">
        <v>5.5</v>
      </c>
      <c r="AB359">
        <v>0.16</v>
      </c>
      <c r="AC359">
        <v>1.1459999999999999</v>
      </c>
      <c r="AK359" t="s">
        <v>98</v>
      </c>
      <c r="AM359" t="s">
        <v>98</v>
      </c>
      <c r="AN359" t="s">
        <v>98</v>
      </c>
      <c r="AO359" t="s">
        <v>98</v>
      </c>
      <c r="AP359" t="s">
        <v>99</v>
      </c>
      <c r="AQ359" t="s">
        <v>102</v>
      </c>
      <c r="AV359" t="s">
        <v>98</v>
      </c>
      <c r="AX359" t="s">
        <v>197</v>
      </c>
      <c r="BF359" t="s">
        <v>1237</v>
      </c>
      <c r="BG359" t="s">
        <v>98</v>
      </c>
      <c r="BH359" t="s">
        <v>98</v>
      </c>
      <c r="BI359" t="s">
        <v>98</v>
      </c>
      <c r="CB359" t="s">
        <v>197</v>
      </c>
      <c r="CL359" t="s">
        <v>98</v>
      </c>
      <c r="CM359" t="s">
        <v>98</v>
      </c>
      <c r="CP359" s="1">
        <v>43595</v>
      </c>
    </row>
    <row r="360" spans="1:94" x14ac:dyDescent="0.25">
      <c r="A360" s="4" t="s">
        <v>1238</v>
      </c>
      <c r="B360" t="str">
        <f xml:space="preserve"> "" &amp; 706411038945</f>
        <v>706411038945</v>
      </c>
      <c r="C360" t="s">
        <v>786</v>
      </c>
      <c r="D360" t="s">
        <v>1239</v>
      </c>
      <c r="F360" t="s">
        <v>135</v>
      </c>
      <c r="G360">
        <v>1</v>
      </c>
      <c r="H360">
        <v>1</v>
      </c>
      <c r="I360" t="s">
        <v>97</v>
      </c>
      <c r="J360" s="32">
        <v>10.5</v>
      </c>
      <c r="K360" s="32">
        <v>31.5</v>
      </c>
      <c r="L360">
        <v>0</v>
      </c>
      <c r="N360">
        <v>0</v>
      </c>
      <c r="S360">
        <v>18</v>
      </c>
      <c r="U360">
        <v>0.75</v>
      </c>
      <c r="V360">
        <v>0.2</v>
      </c>
      <c r="W360">
        <v>1.08</v>
      </c>
      <c r="X360">
        <v>1</v>
      </c>
      <c r="Y360">
        <v>2.75</v>
      </c>
      <c r="Z360">
        <v>18.5</v>
      </c>
      <c r="AA360">
        <v>5.5</v>
      </c>
      <c r="AB360">
        <v>0.16</v>
      </c>
      <c r="AC360">
        <v>1.1459999999999999</v>
      </c>
      <c r="AK360" t="s">
        <v>98</v>
      </c>
      <c r="AM360" t="s">
        <v>98</v>
      </c>
      <c r="AN360" t="s">
        <v>98</v>
      </c>
      <c r="AO360" t="s">
        <v>98</v>
      </c>
      <c r="AP360" t="s">
        <v>99</v>
      </c>
      <c r="AQ360" t="s">
        <v>102</v>
      </c>
      <c r="AV360" t="s">
        <v>98</v>
      </c>
      <c r="AX360" t="s">
        <v>201</v>
      </c>
      <c r="BF360" t="s">
        <v>1240</v>
      </c>
      <c r="BG360" t="s">
        <v>98</v>
      </c>
      <c r="BH360" t="s">
        <v>98</v>
      </c>
      <c r="BI360" t="s">
        <v>98</v>
      </c>
      <c r="BK360" t="s">
        <v>138</v>
      </c>
      <c r="CA360" t="s">
        <v>1190</v>
      </c>
      <c r="CB360" t="s">
        <v>201</v>
      </c>
      <c r="CL360" t="s">
        <v>98</v>
      </c>
      <c r="CM360" t="s">
        <v>98</v>
      </c>
      <c r="CO360" s="1">
        <v>40841</v>
      </c>
      <c r="CP360" s="1">
        <v>43595</v>
      </c>
    </row>
    <row r="361" spans="1:94" x14ac:dyDescent="0.25">
      <c r="A361" s="4" t="s">
        <v>1241</v>
      </c>
      <c r="B361" t="str">
        <f xml:space="preserve"> "" &amp; 706411057007</f>
        <v>706411057007</v>
      </c>
      <c r="C361" t="s">
        <v>786</v>
      </c>
      <c r="D361" t="s">
        <v>1242</v>
      </c>
      <c r="F361" t="s">
        <v>135</v>
      </c>
      <c r="G361">
        <v>1</v>
      </c>
      <c r="H361">
        <v>1</v>
      </c>
      <c r="I361" t="s">
        <v>97</v>
      </c>
      <c r="J361" s="32">
        <v>10.5</v>
      </c>
      <c r="K361" s="32">
        <v>31.5</v>
      </c>
      <c r="L361">
        <v>0</v>
      </c>
      <c r="N361">
        <v>0</v>
      </c>
      <c r="S361">
        <v>18</v>
      </c>
      <c r="U361">
        <v>0.75</v>
      </c>
      <c r="V361">
        <v>0.2</v>
      </c>
      <c r="W361">
        <v>1.08</v>
      </c>
      <c r="X361">
        <v>1</v>
      </c>
      <c r="Y361">
        <v>2.75</v>
      </c>
      <c r="Z361">
        <v>18.5</v>
      </c>
      <c r="AA361">
        <v>5.5</v>
      </c>
      <c r="AB361">
        <v>0.16</v>
      </c>
      <c r="AC361">
        <v>1.1459999999999999</v>
      </c>
      <c r="AK361" t="s">
        <v>98</v>
      </c>
      <c r="AM361" t="s">
        <v>98</v>
      </c>
      <c r="AN361" t="s">
        <v>98</v>
      </c>
      <c r="AO361" t="s">
        <v>98</v>
      </c>
      <c r="AP361" t="s">
        <v>99</v>
      </c>
      <c r="AQ361" t="s">
        <v>102</v>
      </c>
      <c r="AV361" t="s">
        <v>98</v>
      </c>
      <c r="AX361" t="s">
        <v>859</v>
      </c>
      <c r="BF361" t="s">
        <v>1243</v>
      </c>
      <c r="BG361" t="s">
        <v>98</v>
      </c>
      <c r="BH361" t="s">
        <v>98</v>
      </c>
      <c r="BI361" t="s">
        <v>98</v>
      </c>
      <c r="BK361" t="s">
        <v>138</v>
      </c>
      <c r="CA361" t="s">
        <v>1190</v>
      </c>
      <c r="CB361" t="s">
        <v>859</v>
      </c>
      <c r="CL361" t="s">
        <v>98</v>
      </c>
      <c r="CM361" t="s">
        <v>98</v>
      </c>
      <c r="CO361" s="1">
        <v>43399</v>
      </c>
      <c r="CP361" s="1">
        <v>43595</v>
      </c>
    </row>
    <row r="362" spans="1:94" x14ac:dyDescent="0.25">
      <c r="A362" s="4" t="s">
        <v>1244</v>
      </c>
      <c r="B362" t="str">
        <f xml:space="preserve"> "" &amp; 706411043123</f>
        <v>706411043123</v>
      </c>
      <c r="C362" t="s">
        <v>786</v>
      </c>
      <c r="D362" t="s">
        <v>1245</v>
      </c>
      <c r="F362" t="s">
        <v>135</v>
      </c>
      <c r="G362">
        <v>1</v>
      </c>
      <c r="H362">
        <v>1</v>
      </c>
      <c r="I362" t="s">
        <v>97</v>
      </c>
      <c r="J362" s="32">
        <v>10.5</v>
      </c>
      <c r="K362" s="32">
        <v>31.5</v>
      </c>
      <c r="L362">
        <v>0</v>
      </c>
      <c r="N362">
        <v>0</v>
      </c>
      <c r="S362">
        <v>18</v>
      </c>
      <c r="U362">
        <v>0.75</v>
      </c>
      <c r="V362">
        <v>0.2</v>
      </c>
      <c r="W362">
        <v>1.08</v>
      </c>
      <c r="X362">
        <v>1</v>
      </c>
      <c r="Y362">
        <v>2.75</v>
      </c>
      <c r="Z362">
        <v>18.5</v>
      </c>
      <c r="AA362">
        <v>5.5</v>
      </c>
      <c r="AB362">
        <v>0.16</v>
      </c>
      <c r="AC362">
        <v>1.1459999999999999</v>
      </c>
      <c r="AK362" t="s">
        <v>98</v>
      </c>
      <c r="AM362" t="s">
        <v>98</v>
      </c>
      <c r="AN362" t="s">
        <v>98</v>
      </c>
      <c r="AO362" t="s">
        <v>98</v>
      </c>
      <c r="AP362" t="s">
        <v>99</v>
      </c>
      <c r="AQ362" t="s">
        <v>102</v>
      </c>
      <c r="AV362" t="s">
        <v>98</v>
      </c>
      <c r="AX362" t="s">
        <v>205</v>
      </c>
      <c r="BF362" t="s">
        <v>1246</v>
      </c>
      <c r="BG362" t="s">
        <v>98</v>
      </c>
      <c r="BH362" t="s">
        <v>98</v>
      </c>
      <c r="BI362" t="s">
        <v>98</v>
      </c>
      <c r="BJ362" t="s">
        <v>291</v>
      </c>
      <c r="BK362" t="s">
        <v>292</v>
      </c>
      <c r="CA362" t="s">
        <v>1190</v>
      </c>
      <c r="CB362" t="s">
        <v>205</v>
      </c>
      <c r="CL362" t="s">
        <v>98</v>
      </c>
      <c r="CM362" t="s">
        <v>98</v>
      </c>
      <c r="CN362" t="s">
        <v>349</v>
      </c>
      <c r="CO362" s="1">
        <v>43414</v>
      </c>
      <c r="CP362" s="1">
        <v>43595</v>
      </c>
    </row>
    <row r="363" spans="1:94" x14ac:dyDescent="0.25">
      <c r="A363" s="4" t="s">
        <v>1247</v>
      </c>
      <c r="B363" t="str">
        <f xml:space="preserve"> "" &amp; 706411053245</f>
        <v>706411053245</v>
      </c>
      <c r="C363" t="s">
        <v>786</v>
      </c>
      <c r="D363" t="s">
        <v>1248</v>
      </c>
      <c r="F363" t="s">
        <v>135</v>
      </c>
      <c r="G363">
        <v>1</v>
      </c>
      <c r="H363">
        <v>1</v>
      </c>
      <c r="I363" t="s">
        <v>97</v>
      </c>
      <c r="J363" s="32">
        <v>10.5</v>
      </c>
      <c r="K363" s="32">
        <v>31.5</v>
      </c>
      <c r="L363">
        <v>0</v>
      </c>
      <c r="N363">
        <v>0</v>
      </c>
      <c r="S363">
        <v>18</v>
      </c>
      <c r="U363">
        <v>0.75</v>
      </c>
      <c r="V363">
        <v>0.2</v>
      </c>
      <c r="W363">
        <v>1.08</v>
      </c>
      <c r="X363">
        <v>1</v>
      </c>
      <c r="Y363">
        <v>2.75</v>
      </c>
      <c r="Z363">
        <v>18.5</v>
      </c>
      <c r="AA363">
        <v>5.5</v>
      </c>
      <c r="AB363">
        <v>0.16</v>
      </c>
      <c r="AC363">
        <v>1.1459999999999999</v>
      </c>
      <c r="AK363" t="s">
        <v>98</v>
      </c>
      <c r="AM363" t="s">
        <v>98</v>
      </c>
      <c r="AN363" t="s">
        <v>98</v>
      </c>
      <c r="AO363" t="s">
        <v>98</v>
      </c>
      <c r="AP363" t="s">
        <v>99</v>
      </c>
      <c r="AQ363" t="s">
        <v>102</v>
      </c>
      <c r="AV363" t="s">
        <v>98</v>
      </c>
      <c r="AX363" t="s">
        <v>371</v>
      </c>
      <c r="BF363" t="s">
        <v>1249</v>
      </c>
      <c r="BG363" t="s">
        <v>98</v>
      </c>
      <c r="BH363" t="s">
        <v>98</v>
      </c>
      <c r="BI363" t="s">
        <v>98</v>
      </c>
      <c r="CB363" t="s">
        <v>371</v>
      </c>
      <c r="CL363" t="s">
        <v>98</v>
      </c>
      <c r="CM363" t="s">
        <v>98</v>
      </c>
      <c r="CP363" s="1">
        <v>43595</v>
      </c>
    </row>
    <row r="364" spans="1:94" x14ac:dyDescent="0.25">
      <c r="A364" s="4" t="s">
        <v>1250</v>
      </c>
      <c r="B364" t="str">
        <f xml:space="preserve"> "" &amp; 706411060533</f>
        <v>706411060533</v>
      </c>
      <c r="C364" t="s">
        <v>786</v>
      </c>
      <c r="D364" t="s">
        <v>4351</v>
      </c>
      <c r="F364" t="s">
        <v>135</v>
      </c>
      <c r="G364">
        <v>1</v>
      </c>
      <c r="H364">
        <v>1</v>
      </c>
      <c r="I364" t="s">
        <v>97</v>
      </c>
      <c r="J364" s="32">
        <v>10.5</v>
      </c>
      <c r="K364" s="32">
        <v>31.5</v>
      </c>
      <c r="L364">
        <v>0</v>
      </c>
      <c r="N364">
        <v>0</v>
      </c>
      <c r="S364">
        <v>18</v>
      </c>
      <c r="U364">
        <v>0.75</v>
      </c>
      <c r="V364">
        <v>0.2</v>
      </c>
      <c r="W364">
        <v>1.08</v>
      </c>
      <c r="X364">
        <v>1</v>
      </c>
      <c r="Y364">
        <v>2.75</v>
      </c>
      <c r="Z364">
        <v>18.5</v>
      </c>
      <c r="AA364">
        <v>5.5</v>
      </c>
      <c r="AB364">
        <v>0.16</v>
      </c>
      <c r="AC364">
        <v>1.1499999999999999</v>
      </c>
      <c r="AK364" t="s">
        <v>98</v>
      </c>
      <c r="AM364" t="s">
        <v>98</v>
      </c>
      <c r="AN364" t="s">
        <v>98</v>
      </c>
      <c r="AO364" t="s">
        <v>98</v>
      </c>
      <c r="AP364" t="s">
        <v>99</v>
      </c>
      <c r="AQ364" t="s">
        <v>102</v>
      </c>
      <c r="AV364" t="s">
        <v>98</v>
      </c>
      <c r="AX364" t="s">
        <v>1095</v>
      </c>
      <c r="BF364" t="s">
        <v>1251</v>
      </c>
      <c r="BG364" t="s">
        <v>98</v>
      </c>
      <c r="BH364" t="s">
        <v>98</v>
      </c>
      <c r="BI364" t="s">
        <v>98</v>
      </c>
      <c r="BJ364" t="s">
        <v>291</v>
      </c>
      <c r="BK364" t="s">
        <v>292</v>
      </c>
      <c r="CA364" t="s">
        <v>1190</v>
      </c>
      <c r="CB364" t="s">
        <v>1095</v>
      </c>
      <c r="CL364" t="s">
        <v>98</v>
      </c>
      <c r="CM364" t="s">
        <v>98</v>
      </c>
      <c r="CN364" t="s">
        <v>349</v>
      </c>
      <c r="CO364" s="1">
        <v>43577</v>
      </c>
      <c r="CP364" s="1">
        <v>43648</v>
      </c>
    </row>
    <row r="365" spans="1:94" x14ac:dyDescent="0.25">
      <c r="A365" s="4" t="s">
        <v>1252</v>
      </c>
      <c r="B365" t="str">
        <f xml:space="preserve"> "" &amp; 706411056789</f>
        <v>706411056789</v>
      </c>
      <c r="C365" t="s">
        <v>786</v>
      </c>
      <c r="D365" t="s">
        <v>1253</v>
      </c>
      <c r="F365" t="s">
        <v>135</v>
      </c>
      <c r="G365">
        <v>1</v>
      </c>
      <c r="H365">
        <v>1</v>
      </c>
      <c r="I365" t="s">
        <v>97</v>
      </c>
      <c r="J365" s="32">
        <v>10.5</v>
      </c>
      <c r="K365" s="32">
        <v>31.5</v>
      </c>
      <c r="L365">
        <v>0</v>
      </c>
      <c r="N365">
        <v>0</v>
      </c>
      <c r="S365">
        <v>18</v>
      </c>
      <c r="U365">
        <v>0.75</v>
      </c>
      <c r="V365">
        <v>0.2</v>
      </c>
      <c r="W365">
        <v>1.08</v>
      </c>
      <c r="X365">
        <v>1</v>
      </c>
      <c r="Y365">
        <v>2.75</v>
      </c>
      <c r="Z365">
        <v>18.5</v>
      </c>
      <c r="AA365">
        <v>5.5</v>
      </c>
      <c r="AB365">
        <v>0.16</v>
      </c>
      <c r="AC365">
        <v>1.1459999999999999</v>
      </c>
      <c r="AK365" t="s">
        <v>98</v>
      </c>
      <c r="AM365" t="s">
        <v>98</v>
      </c>
      <c r="AN365" t="s">
        <v>98</v>
      </c>
      <c r="AO365" t="s">
        <v>98</v>
      </c>
      <c r="AP365" t="s">
        <v>99</v>
      </c>
      <c r="AQ365" t="s">
        <v>102</v>
      </c>
      <c r="AV365" t="s">
        <v>98</v>
      </c>
      <c r="AX365" t="s">
        <v>209</v>
      </c>
      <c r="BF365" t="s">
        <v>1254</v>
      </c>
      <c r="BG365" t="s">
        <v>98</v>
      </c>
      <c r="BH365" t="s">
        <v>98</v>
      </c>
      <c r="BI365" t="s">
        <v>98</v>
      </c>
      <c r="BK365" t="s">
        <v>138</v>
      </c>
      <c r="CB365" t="s">
        <v>209</v>
      </c>
      <c r="CL365" t="s">
        <v>98</v>
      </c>
      <c r="CM365" t="s">
        <v>98</v>
      </c>
      <c r="CN365" t="s">
        <v>349</v>
      </c>
      <c r="CO365" s="1">
        <v>43147</v>
      </c>
      <c r="CP365" s="1">
        <v>43595</v>
      </c>
    </row>
    <row r="366" spans="1:94" x14ac:dyDescent="0.25">
      <c r="A366" s="4" t="s">
        <v>1255</v>
      </c>
      <c r="B366" t="str">
        <f xml:space="preserve"> "" &amp; 706411025648</f>
        <v>706411025648</v>
      </c>
      <c r="C366" t="s">
        <v>786</v>
      </c>
      <c r="D366" t="s">
        <v>4372</v>
      </c>
      <c r="F366" t="s">
        <v>135</v>
      </c>
      <c r="G366">
        <v>1</v>
      </c>
      <c r="H366">
        <v>1</v>
      </c>
      <c r="I366" t="s">
        <v>97</v>
      </c>
      <c r="J366" s="32">
        <v>10.5</v>
      </c>
      <c r="K366" s="32">
        <v>31.5</v>
      </c>
      <c r="L366">
        <v>0</v>
      </c>
      <c r="N366">
        <v>0</v>
      </c>
      <c r="S366">
        <v>18</v>
      </c>
      <c r="U366">
        <v>0.75</v>
      </c>
      <c r="V366">
        <v>0.2</v>
      </c>
      <c r="W366">
        <v>1.08</v>
      </c>
      <c r="X366">
        <v>1</v>
      </c>
      <c r="Y366">
        <v>2.75</v>
      </c>
      <c r="Z366">
        <v>18.5</v>
      </c>
      <c r="AA366">
        <v>5.5</v>
      </c>
      <c r="AB366">
        <v>0.16</v>
      </c>
      <c r="AC366">
        <v>1.1459999999999999</v>
      </c>
      <c r="AK366" t="s">
        <v>98</v>
      </c>
      <c r="AM366" t="s">
        <v>98</v>
      </c>
      <c r="AN366" t="s">
        <v>98</v>
      </c>
      <c r="AO366" t="s">
        <v>98</v>
      </c>
      <c r="AP366" t="s">
        <v>99</v>
      </c>
      <c r="AQ366" t="s">
        <v>102</v>
      </c>
      <c r="AV366" t="s">
        <v>98</v>
      </c>
      <c r="AX366" t="s">
        <v>212</v>
      </c>
      <c r="BF366" t="s">
        <v>1256</v>
      </c>
      <c r="BG366" t="s">
        <v>98</v>
      </c>
      <c r="BH366" t="s">
        <v>98</v>
      </c>
      <c r="BI366" t="s">
        <v>98</v>
      </c>
      <c r="BK366" t="s">
        <v>138</v>
      </c>
      <c r="CA366" t="s">
        <v>1190</v>
      </c>
      <c r="CB366" t="s">
        <v>212</v>
      </c>
      <c r="CL366" t="s">
        <v>98</v>
      </c>
      <c r="CM366" t="s">
        <v>98</v>
      </c>
      <c r="CO366" s="1">
        <v>39728</v>
      </c>
      <c r="CP366" s="1">
        <v>43595</v>
      </c>
    </row>
    <row r="367" spans="1:94" x14ac:dyDescent="0.25">
      <c r="A367" s="4" t="s">
        <v>1257</v>
      </c>
      <c r="B367" t="str">
        <f xml:space="preserve"> "" &amp; 706411035210</f>
        <v>706411035210</v>
      </c>
      <c r="C367" t="s">
        <v>786</v>
      </c>
      <c r="D367" t="s">
        <v>4373</v>
      </c>
      <c r="F367" t="s">
        <v>135</v>
      </c>
      <c r="G367">
        <v>1</v>
      </c>
      <c r="H367">
        <v>1</v>
      </c>
      <c r="I367" t="s">
        <v>97</v>
      </c>
      <c r="J367" s="32">
        <v>10.5</v>
      </c>
      <c r="K367" s="32">
        <v>31.5</v>
      </c>
      <c r="L367">
        <v>0</v>
      </c>
      <c r="N367">
        <v>0</v>
      </c>
      <c r="S367">
        <v>18</v>
      </c>
      <c r="U367">
        <v>0.75</v>
      </c>
      <c r="V367">
        <v>0.2</v>
      </c>
      <c r="W367">
        <v>1.08</v>
      </c>
      <c r="X367">
        <v>1</v>
      </c>
      <c r="Y367">
        <v>2.75</v>
      </c>
      <c r="Z367">
        <v>18.5</v>
      </c>
      <c r="AA367">
        <v>5.5</v>
      </c>
      <c r="AB367">
        <v>0.16</v>
      </c>
      <c r="AC367">
        <v>1.1459999999999999</v>
      </c>
      <c r="AK367" t="s">
        <v>98</v>
      </c>
      <c r="AM367" t="s">
        <v>98</v>
      </c>
      <c r="AN367" t="s">
        <v>98</v>
      </c>
      <c r="AO367" t="s">
        <v>98</v>
      </c>
      <c r="AP367" t="s">
        <v>99</v>
      </c>
      <c r="AQ367" t="s">
        <v>102</v>
      </c>
      <c r="AV367" t="s">
        <v>98</v>
      </c>
      <c r="AX367" t="s">
        <v>215</v>
      </c>
      <c r="BF367" t="s">
        <v>1258</v>
      </c>
      <c r="BG367" t="s">
        <v>98</v>
      </c>
      <c r="BH367" t="s">
        <v>98</v>
      </c>
      <c r="BI367" t="s">
        <v>98</v>
      </c>
      <c r="BK367" t="s">
        <v>138</v>
      </c>
      <c r="CA367" t="s">
        <v>1190</v>
      </c>
      <c r="CB367" t="s">
        <v>215</v>
      </c>
      <c r="CL367" t="s">
        <v>98</v>
      </c>
      <c r="CM367" t="s">
        <v>98</v>
      </c>
      <c r="CO367" s="1">
        <v>39728</v>
      </c>
      <c r="CP367" s="1">
        <v>43595</v>
      </c>
    </row>
    <row r="368" spans="1:94" x14ac:dyDescent="0.25">
      <c r="A368" s="4" t="s">
        <v>1259</v>
      </c>
      <c r="B368" t="str">
        <f xml:space="preserve"> "" &amp; 706411043130</f>
        <v>706411043130</v>
      </c>
      <c r="C368" t="s">
        <v>786</v>
      </c>
      <c r="D368" t="s">
        <v>1260</v>
      </c>
      <c r="F368" t="s">
        <v>135</v>
      </c>
      <c r="G368">
        <v>1</v>
      </c>
      <c r="H368">
        <v>1</v>
      </c>
      <c r="I368" t="s">
        <v>97</v>
      </c>
      <c r="J368" s="32">
        <v>10.5</v>
      </c>
      <c r="K368" s="32">
        <v>31.5</v>
      </c>
      <c r="L368">
        <v>0</v>
      </c>
      <c r="N368">
        <v>0</v>
      </c>
      <c r="S368">
        <v>18</v>
      </c>
      <c r="U368">
        <v>0.75</v>
      </c>
      <c r="V368">
        <v>0.2</v>
      </c>
      <c r="W368">
        <v>1.08</v>
      </c>
      <c r="X368">
        <v>1</v>
      </c>
      <c r="Y368">
        <v>2.75</v>
      </c>
      <c r="Z368">
        <v>18.5</v>
      </c>
      <c r="AA368">
        <v>5.5</v>
      </c>
      <c r="AB368">
        <v>0.16</v>
      </c>
      <c r="AC368">
        <v>1.1459999999999999</v>
      </c>
      <c r="AK368" t="s">
        <v>98</v>
      </c>
      <c r="AM368" t="s">
        <v>98</v>
      </c>
      <c r="AN368" t="s">
        <v>98</v>
      </c>
      <c r="AO368" t="s">
        <v>98</v>
      </c>
      <c r="AP368" t="s">
        <v>99</v>
      </c>
      <c r="AQ368" t="s">
        <v>102</v>
      </c>
      <c r="AV368" t="s">
        <v>98</v>
      </c>
      <c r="AX368" t="s">
        <v>219</v>
      </c>
      <c r="BF368" t="s">
        <v>1261</v>
      </c>
      <c r="BG368" t="s">
        <v>98</v>
      </c>
      <c r="BH368" t="s">
        <v>98</v>
      </c>
      <c r="BI368" t="s">
        <v>98</v>
      </c>
      <c r="BK368" t="s">
        <v>138</v>
      </c>
      <c r="CA368" t="s">
        <v>1190</v>
      </c>
      <c r="CB368" t="s">
        <v>219</v>
      </c>
      <c r="CL368" t="s">
        <v>98</v>
      </c>
      <c r="CM368" t="s">
        <v>98</v>
      </c>
      <c r="CN368" t="s">
        <v>349</v>
      </c>
      <c r="CO368" s="1">
        <v>43414</v>
      </c>
      <c r="CP368" s="1">
        <v>43595</v>
      </c>
    </row>
    <row r="369" spans="1:94" x14ac:dyDescent="0.25">
      <c r="A369" s="4" t="s">
        <v>1262</v>
      </c>
      <c r="B369" t="str">
        <f xml:space="preserve"> "" &amp; 706411033506</f>
        <v>706411033506</v>
      </c>
      <c r="C369" t="s">
        <v>786</v>
      </c>
      <c r="D369" t="s">
        <v>1263</v>
      </c>
      <c r="F369" t="s">
        <v>135</v>
      </c>
      <c r="G369">
        <v>1</v>
      </c>
      <c r="H369">
        <v>1</v>
      </c>
      <c r="I369" t="s">
        <v>97</v>
      </c>
      <c r="J369" s="32">
        <v>10.5</v>
      </c>
      <c r="K369" s="32">
        <v>31.5</v>
      </c>
      <c r="L369">
        <v>0</v>
      </c>
      <c r="N369">
        <v>0</v>
      </c>
      <c r="S369">
        <v>18</v>
      </c>
      <c r="U369">
        <v>0.75</v>
      </c>
      <c r="V369">
        <v>0.2</v>
      </c>
      <c r="W369">
        <v>1.08</v>
      </c>
      <c r="X369">
        <v>1</v>
      </c>
      <c r="Y369">
        <v>2.75</v>
      </c>
      <c r="Z369">
        <v>18.5</v>
      </c>
      <c r="AA369">
        <v>5.5</v>
      </c>
      <c r="AB369">
        <v>0.16</v>
      </c>
      <c r="AC369">
        <v>1.1459999999999999</v>
      </c>
      <c r="AK369" t="s">
        <v>98</v>
      </c>
      <c r="AM369" t="s">
        <v>98</v>
      </c>
      <c r="AN369" t="s">
        <v>98</v>
      </c>
      <c r="AO369" t="s">
        <v>98</v>
      </c>
      <c r="AP369" t="s">
        <v>99</v>
      </c>
      <c r="AQ369" t="s">
        <v>102</v>
      </c>
      <c r="AV369" t="s">
        <v>98</v>
      </c>
      <c r="AX369" t="s">
        <v>223</v>
      </c>
      <c r="BF369" t="s">
        <v>1264</v>
      </c>
      <c r="BG369" t="s">
        <v>98</v>
      </c>
      <c r="BH369" t="s">
        <v>98</v>
      </c>
      <c r="BI369" t="s">
        <v>98</v>
      </c>
      <c r="BK369" t="s">
        <v>138</v>
      </c>
      <c r="CA369" t="s">
        <v>1190</v>
      </c>
      <c r="CB369" t="s">
        <v>223</v>
      </c>
      <c r="CL369" t="s">
        <v>98</v>
      </c>
      <c r="CM369" t="s">
        <v>98</v>
      </c>
      <c r="CO369" s="1">
        <v>39728</v>
      </c>
      <c r="CP369" s="1">
        <v>43595</v>
      </c>
    </row>
    <row r="370" spans="1:94" x14ac:dyDescent="0.25">
      <c r="A370" s="4" t="s">
        <v>1265</v>
      </c>
      <c r="B370" t="str">
        <f xml:space="preserve"> "" &amp; 706411038969</f>
        <v>706411038969</v>
      </c>
      <c r="C370" t="s">
        <v>786</v>
      </c>
      <c r="D370" t="s">
        <v>1266</v>
      </c>
      <c r="F370" t="s">
        <v>135</v>
      </c>
      <c r="G370">
        <v>1</v>
      </c>
      <c r="H370">
        <v>1</v>
      </c>
      <c r="I370" t="s">
        <v>97</v>
      </c>
      <c r="J370" s="32">
        <v>10.5</v>
      </c>
      <c r="K370" s="32">
        <v>31.5</v>
      </c>
      <c r="L370">
        <v>0</v>
      </c>
      <c r="N370">
        <v>0</v>
      </c>
      <c r="S370">
        <v>18</v>
      </c>
      <c r="U370">
        <v>0.75</v>
      </c>
      <c r="V370">
        <v>0.2</v>
      </c>
      <c r="W370">
        <v>1.08</v>
      </c>
      <c r="X370">
        <v>1</v>
      </c>
      <c r="Y370">
        <v>2.75</v>
      </c>
      <c r="Z370">
        <v>18.5</v>
      </c>
      <c r="AA370">
        <v>5.5</v>
      </c>
      <c r="AB370">
        <v>0.16</v>
      </c>
      <c r="AC370">
        <v>1.1459999999999999</v>
      </c>
      <c r="AK370" t="s">
        <v>98</v>
      </c>
      <c r="AM370" t="s">
        <v>98</v>
      </c>
      <c r="AN370" t="s">
        <v>98</v>
      </c>
      <c r="AO370" t="s">
        <v>98</v>
      </c>
      <c r="AP370" t="s">
        <v>99</v>
      </c>
      <c r="AQ370" t="s">
        <v>102</v>
      </c>
      <c r="AV370" t="s">
        <v>98</v>
      </c>
      <c r="AX370" t="s">
        <v>227</v>
      </c>
      <c r="BF370" t="s">
        <v>1267</v>
      </c>
      <c r="BG370" t="s">
        <v>98</v>
      </c>
      <c r="BH370" t="s">
        <v>98</v>
      </c>
      <c r="BI370" t="s">
        <v>98</v>
      </c>
      <c r="CB370" t="s">
        <v>227</v>
      </c>
      <c r="CL370" t="s">
        <v>98</v>
      </c>
      <c r="CM370" t="s">
        <v>98</v>
      </c>
      <c r="CP370" s="1">
        <v>43595</v>
      </c>
    </row>
    <row r="371" spans="1:94" x14ac:dyDescent="0.25">
      <c r="A371" s="4" t="s">
        <v>1268</v>
      </c>
      <c r="B371" t="str">
        <f xml:space="preserve"> "" &amp; 706411027338</f>
        <v>706411027338</v>
      </c>
      <c r="C371" t="s">
        <v>786</v>
      </c>
      <c r="D371" t="s">
        <v>1269</v>
      </c>
      <c r="F371" t="s">
        <v>135</v>
      </c>
      <c r="G371">
        <v>1</v>
      </c>
      <c r="H371">
        <v>1</v>
      </c>
      <c r="I371" t="s">
        <v>97</v>
      </c>
      <c r="J371" s="32">
        <v>10.5</v>
      </c>
      <c r="K371" s="32">
        <v>31.5</v>
      </c>
      <c r="L371">
        <v>0</v>
      </c>
      <c r="N371">
        <v>0</v>
      </c>
      <c r="S371">
        <v>18</v>
      </c>
      <c r="U371">
        <v>0.75</v>
      </c>
      <c r="V371">
        <v>0.2</v>
      </c>
      <c r="W371">
        <v>1.08</v>
      </c>
      <c r="X371">
        <v>1</v>
      </c>
      <c r="Y371">
        <v>2.75</v>
      </c>
      <c r="Z371">
        <v>18.5</v>
      </c>
      <c r="AA371">
        <v>5.5</v>
      </c>
      <c r="AB371">
        <v>0.16</v>
      </c>
      <c r="AC371">
        <v>1.1459999999999999</v>
      </c>
      <c r="AK371" t="s">
        <v>98</v>
      </c>
      <c r="AM371" t="s">
        <v>98</v>
      </c>
      <c r="AN371" t="s">
        <v>98</v>
      </c>
      <c r="AO371" t="s">
        <v>98</v>
      </c>
      <c r="AP371" t="s">
        <v>99</v>
      </c>
      <c r="AQ371" t="s">
        <v>102</v>
      </c>
      <c r="AV371" t="s">
        <v>98</v>
      </c>
      <c r="AX371" t="s">
        <v>231</v>
      </c>
      <c r="BF371" t="s">
        <v>1270</v>
      </c>
      <c r="BG371" t="s">
        <v>98</v>
      </c>
      <c r="BH371" t="s">
        <v>98</v>
      </c>
      <c r="BI371" t="s">
        <v>98</v>
      </c>
      <c r="BK371" t="s">
        <v>138</v>
      </c>
      <c r="CA371" t="s">
        <v>1190</v>
      </c>
      <c r="CB371" t="s">
        <v>231</v>
      </c>
      <c r="CL371" t="s">
        <v>98</v>
      </c>
      <c r="CM371" t="s">
        <v>98</v>
      </c>
      <c r="CO371" s="1">
        <v>39728</v>
      </c>
      <c r="CP371" s="1">
        <v>43595</v>
      </c>
    </row>
    <row r="372" spans="1:94" x14ac:dyDescent="0.25">
      <c r="A372" s="4" t="s">
        <v>1271</v>
      </c>
      <c r="B372" t="str">
        <f xml:space="preserve"> "" &amp; 706411027246</f>
        <v>706411027246</v>
      </c>
      <c r="C372" t="s">
        <v>786</v>
      </c>
      <c r="D372" t="s">
        <v>1272</v>
      </c>
      <c r="F372" t="s">
        <v>135</v>
      </c>
      <c r="G372">
        <v>1</v>
      </c>
      <c r="H372">
        <v>1</v>
      </c>
      <c r="I372" t="s">
        <v>97</v>
      </c>
      <c r="J372" s="32">
        <v>10.5</v>
      </c>
      <c r="K372" s="32">
        <v>31.5</v>
      </c>
      <c r="L372">
        <v>0</v>
      </c>
      <c r="N372">
        <v>0</v>
      </c>
      <c r="S372">
        <v>18</v>
      </c>
      <c r="U372">
        <v>0.75</v>
      </c>
      <c r="V372">
        <v>0.2</v>
      </c>
      <c r="W372">
        <v>1.08</v>
      </c>
      <c r="X372">
        <v>1</v>
      </c>
      <c r="Y372">
        <v>2.75</v>
      </c>
      <c r="Z372">
        <v>18.5</v>
      </c>
      <c r="AA372">
        <v>5.5</v>
      </c>
      <c r="AB372">
        <v>0.16</v>
      </c>
      <c r="AC372">
        <v>1.1459999999999999</v>
      </c>
      <c r="AK372" t="s">
        <v>98</v>
      </c>
      <c r="AM372" t="s">
        <v>98</v>
      </c>
      <c r="AN372" t="s">
        <v>98</v>
      </c>
      <c r="AO372" t="s">
        <v>98</v>
      </c>
      <c r="AP372" t="s">
        <v>99</v>
      </c>
      <c r="AQ372" t="s">
        <v>102</v>
      </c>
      <c r="AV372" t="s">
        <v>98</v>
      </c>
      <c r="AX372" t="s">
        <v>235</v>
      </c>
      <c r="BF372" t="s">
        <v>1273</v>
      </c>
      <c r="BG372" t="s">
        <v>98</v>
      </c>
      <c r="BH372" t="s">
        <v>98</v>
      </c>
      <c r="BI372" t="s">
        <v>98</v>
      </c>
      <c r="BK372" t="s">
        <v>138</v>
      </c>
      <c r="CA372" t="s">
        <v>1190</v>
      </c>
      <c r="CB372" t="s">
        <v>235</v>
      </c>
      <c r="CL372" t="s">
        <v>98</v>
      </c>
      <c r="CM372" t="s">
        <v>98</v>
      </c>
      <c r="CO372" s="1">
        <v>40855</v>
      </c>
      <c r="CP372" s="1">
        <v>43595</v>
      </c>
    </row>
    <row r="373" spans="1:94" x14ac:dyDescent="0.25">
      <c r="A373" s="4" t="s">
        <v>1274</v>
      </c>
      <c r="B373" t="str">
        <f xml:space="preserve"> "" &amp; 706411035258</f>
        <v>706411035258</v>
      </c>
      <c r="C373" t="s">
        <v>786</v>
      </c>
      <c r="D373" t="s">
        <v>4374</v>
      </c>
      <c r="F373" t="s">
        <v>135</v>
      </c>
      <c r="G373">
        <v>1</v>
      </c>
      <c r="H373">
        <v>1</v>
      </c>
      <c r="I373" t="s">
        <v>97</v>
      </c>
      <c r="J373" s="32">
        <v>10.5</v>
      </c>
      <c r="K373" s="32">
        <v>31.5</v>
      </c>
      <c r="L373">
        <v>0</v>
      </c>
      <c r="N373">
        <v>0</v>
      </c>
      <c r="S373">
        <v>18</v>
      </c>
      <c r="U373">
        <v>0.75</v>
      </c>
      <c r="V373">
        <v>0.2</v>
      </c>
      <c r="W373">
        <v>1.08</v>
      </c>
      <c r="X373">
        <v>1</v>
      </c>
      <c r="Y373">
        <v>2.75</v>
      </c>
      <c r="Z373">
        <v>18.5</v>
      </c>
      <c r="AA373">
        <v>5.5</v>
      </c>
      <c r="AB373">
        <v>0.16</v>
      </c>
      <c r="AC373">
        <v>1.1459999999999999</v>
      </c>
      <c r="AK373" t="s">
        <v>98</v>
      </c>
      <c r="AM373" t="s">
        <v>98</v>
      </c>
      <c r="AN373" t="s">
        <v>98</v>
      </c>
      <c r="AO373" t="s">
        <v>98</v>
      </c>
      <c r="AP373" t="s">
        <v>99</v>
      </c>
      <c r="AQ373" t="s">
        <v>102</v>
      </c>
      <c r="AV373" t="s">
        <v>98</v>
      </c>
      <c r="AX373" t="s">
        <v>238</v>
      </c>
      <c r="BF373" t="s">
        <v>1275</v>
      </c>
      <c r="BG373" t="s">
        <v>98</v>
      </c>
      <c r="BH373" t="s">
        <v>98</v>
      </c>
      <c r="BI373" t="s">
        <v>98</v>
      </c>
      <c r="BK373" t="s">
        <v>138</v>
      </c>
      <c r="CA373" t="s">
        <v>1190</v>
      </c>
      <c r="CB373" t="s">
        <v>238</v>
      </c>
      <c r="CL373" t="s">
        <v>98</v>
      </c>
      <c r="CM373" t="s">
        <v>98</v>
      </c>
      <c r="CO373" s="1">
        <v>39728</v>
      </c>
      <c r="CP373" s="1">
        <v>43595</v>
      </c>
    </row>
    <row r="374" spans="1:94" x14ac:dyDescent="0.25">
      <c r="A374" s="4" t="s">
        <v>1276</v>
      </c>
      <c r="B374" t="str">
        <f xml:space="preserve"> "" &amp; 706411053146</f>
        <v>706411053146</v>
      </c>
      <c r="C374" t="s">
        <v>786</v>
      </c>
      <c r="D374" t="s">
        <v>1277</v>
      </c>
      <c r="F374" t="s">
        <v>135</v>
      </c>
      <c r="G374">
        <v>1</v>
      </c>
      <c r="H374">
        <v>1</v>
      </c>
      <c r="I374" t="s">
        <v>97</v>
      </c>
      <c r="J374" s="32">
        <v>10.5</v>
      </c>
      <c r="K374" s="32">
        <v>31.5</v>
      </c>
      <c r="L374">
        <v>0</v>
      </c>
      <c r="N374">
        <v>0</v>
      </c>
      <c r="S374">
        <v>18</v>
      </c>
      <c r="U374">
        <v>0.75</v>
      </c>
      <c r="V374">
        <v>0.2</v>
      </c>
      <c r="W374">
        <v>1.08</v>
      </c>
      <c r="X374">
        <v>1</v>
      </c>
      <c r="Y374">
        <v>2.75</v>
      </c>
      <c r="Z374">
        <v>18.5</v>
      </c>
      <c r="AA374">
        <v>5.5</v>
      </c>
      <c r="AB374">
        <v>0.16</v>
      </c>
      <c r="AC374">
        <v>1.1459999999999999</v>
      </c>
      <c r="AK374" t="s">
        <v>98</v>
      </c>
      <c r="AM374" t="s">
        <v>98</v>
      </c>
      <c r="AN374" t="s">
        <v>98</v>
      </c>
      <c r="AO374" t="s">
        <v>98</v>
      </c>
      <c r="AP374" t="s">
        <v>99</v>
      </c>
      <c r="AQ374" t="s">
        <v>102</v>
      </c>
      <c r="AV374" t="s">
        <v>98</v>
      </c>
      <c r="BF374" t="s">
        <v>1278</v>
      </c>
      <c r="BG374" t="s">
        <v>98</v>
      </c>
      <c r="BH374" t="s">
        <v>98</v>
      </c>
      <c r="BI374" t="s">
        <v>98</v>
      </c>
      <c r="CL374" t="s">
        <v>98</v>
      </c>
      <c r="CM374" t="s">
        <v>98</v>
      </c>
      <c r="CP374" s="1">
        <v>43595</v>
      </c>
    </row>
    <row r="375" spans="1:94" x14ac:dyDescent="0.25">
      <c r="A375" s="4" t="s">
        <v>1279</v>
      </c>
      <c r="B375" t="str">
        <f xml:space="preserve"> "" &amp; 706411009884</f>
        <v>706411009884</v>
      </c>
      <c r="C375" t="s">
        <v>786</v>
      </c>
      <c r="D375" t="s">
        <v>1280</v>
      </c>
      <c r="F375" t="s">
        <v>135</v>
      </c>
      <c r="G375">
        <v>1</v>
      </c>
      <c r="H375">
        <v>1</v>
      </c>
      <c r="I375" t="s">
        <v>97</v>
      </c>
      <c r="J375" s="32">
        <v>10.5</v>
      </c>
      <c r="K375" s="32">
        <v>31.5</v>
      </c>
      <c r="L375">
        <v>0</v>
      </c>
      <c r="N375">
        <v>0</v>
      </c>
      <c r="S375">
        <v>18</v>
      </c>
      <c r="U375">
        <v>0.75</v>
      </c>
      <c r="V375">
        <v>0.2</v>
      </c>
      <c r="W375">
        <v>1.08</v>
      </c>
      <c r="X375">
        <v>1</v>
      </c>
      <c r="Y375">
        <v>2.75</v>
      </c>
      <c r="Z375">
        <v>18.5</v>
      </c>
      <c r="AA375">
        <v>5.5</v>
      </c>
      <c r="AB375">
        <v>0.16</v>
      </c>
      <c r="AC375">
        <v>1.1459999999999999</v>
      </c>
      <c r="AK375" t="s">
        <v>98</v>
      </c>
      <c r="AM375" t="s">
        <v>98</v>
      </c>
      <c r="AN375" t="s">
        <v>98</v>
      </c>
      <c r="AO375" t="s">
        <v>98</v>
      </c>
      <c r="AP375" t="s">
        <v>99</v>
      </c>
      <c r="AQ375" t="s">
        <v>102</v>
      </c>
      <c r="AV375" t="s">
        <v>98</v>
      </c>
      <c r="AX375" t="s">
        <v>245</v>
      </c>
      <c r="BF375" t="s">
        <v>1281</v>
      </c>
      <c r="BG375" t="s">
        <v>98</v>
      </c>
      <c r="BH375" t="s">
        <v>98</v>
      </c>
      <c r="BI375" t="s">
        <v>98</v>
      </c>
      <c r="BK375" t="s">
        <v>138</v>
      </c>
      <c r="CA375" t="s">
        <v>1190</v>
      </c>
      <c r="CB375" t="s">
        <v>245</v>
      </c>
      <c r="CL375" t="s">
        <v>98</v>
      </c>
      <c r="CM375" t="s">
        <v>98</v>
      </c>
      <c r="CO375" s="1">
        <v>39728</v>
      </c>
      <c r="CP375" s="1">
        <v>43595</v>
      </c>
    </row>
    <row r="376" spans="1:94" x14ac:dyDescent="0.25">
      <c r="A376" s="4" t="s">
        <v>1282</v>
      </c>
      <c r="B376" t="str">
        <f xml:space="preserve"> "" &amp; 706411039515</f>
        <v>706411039515</v>
      </c>
      <c r="C376" t="s">
        <v>786</v>
      </c>
      <c r="D376" t="s">
        <v>1283</v>
      </c>
      <c r="F376" t="s">
        <v>135</v>
      </c>
      <c r="G376">
        <v>1</v>
      </c>
      <c r="H376">
        <v>1</v>
      </c>
      <c r="I376" t="s">
        <v>97</v>
      </c>
      <c r="J376" s="32">
        <v>10.5</v>
      </c>
      <c r="K376" s="32">
        <v>31.5</v>
      </c>
      <c r="L376">
        <v>0</v>
      </c>
      <c r="N376">
        <v>0</v>
      </c>
      <c r="S376">
        <v>18</v>
      </c>
      <c r="U376">
        <v>0.75</v>
      </c>
      <c r="V376">
        <v>0.2</v>
      </c>
      <c r="W376">
        <v>1.08</v>
      </c>
      <c r="X376">
        <v>1</v>
      </c>
      <c r="Y376">
        <v>2.75</v>
      </c>
      <c r="Z376">
        <v>18.5</v>
      </c>
      <c r="AA376">
        <v>5.5</v>
      </c>
      <c r="AB376">
        <v>0.16</v>
      </c>
      <c r="AC376">
        <v>1.1459999999999999</v>
      </c>
      <c r="AK376" t="s">
        <v>98</v>
      </c>
      <c r="AM376" t="s">
        <v>98</v>
      </c>
      <c r="AN376" t="s">
        <v>98</v>
      </c>
      <c r="AO376" t="s">
        <v>98</v>
      </c>
      <c r="AP376" t="s">
        <v>99</v>
      </c>
      <c r="AQ376" t="s">
        <v>102</v>
      </c>
      <c r="AV376" t="s">
        <v>98</v>
      </c>
      <c r="AX376" t="s">
        <v>249</v>
      </c>
      <c r="BF376" t="s">
        <v>1284</v>
      </c>
      <c r="BG376" t="s">
        <v>98</v>
      </c>
      <c r="BH376" t="s">
        <v>98</v>
      </c>
      <c r="BI376" t="s">
        <v>98</v>
      </c>
      <c r="BK376" t="s">
        <v>138</v>
      </c>
      <c r="CA376" t="s">
        <v>1190</v>
      </c>
      <c r="CB376" t="s">
        <v>249</v>
      </c>
      <c r="CL376" t="s">
        <v>98</v>
      </c>
      <c r="CM376" t="s">
        <v>98</v>
      </c>
      <c r="CO376" s="1">
        <v>40841</v>
      </c>
      <c r="CP376" s="1">
        <v>43595</v>
      </c>
    </row>
    <row r="377" spans="1:94" x14ac:dyDescent="0.25">
      <c r="A377" s="4" t="s">
        <v>1285</v>
      </c>
      <c r="B377" t="str">
        <f xml:space="preserve"> "" &amp; 706411038976</f>
        <v>706411038976</v>
      </c>
      <c r="C377" t="s">
        <v>786</v>
      </c>
      <c r="D377" t="s">
        <v>1286</v>
      </c>
      <c r="F377" t="s">
        <v>135</v>
      </c>
      <c r="G377">
        <v>1</v>
      </c>
      <c r="H377">
        <v>1</v>
      </c>
      <c r="I377" t="s">
        <v>97</v>
      </c>
      <c r="J377" s="32">
        <v>10.5</v>
      </c>
      <c r="K377" s="32">
        <v>31.5</v>
      </c>
      <c r="L377">
        <v>0</v>
      </c>
      <c r="N377">
        <v>0</v>
      </c>
      <c r="S377">
        <v>18</v>
      </c>
      <c r="U377">
        <v>0.75</v>
      </c>
      <c r="V377">
        <v>0.2</v>
      </c>
      <c r="W377">
        <v>1.08</v>
      </c>
      <c r="X377">
        <v>1</v>
      </c>
      <c r="Y377">
        <v>2.75</v>
      </c>
      <c r="Z377">
        <v>18.5</v>
      </c>
      <c r="AA377">
        <v>5.5</v>
      </c>
      <c r="AB377">
        <v>0.16</v>
      </c>
      <c r="AC377">
        <v>1.1459999999999999</v>
      </c>
      <c r="AK377" t="s">
        <v>98</v>
      </c>
      <c r="AM377" t="s">
        <v>98</v>
      </c>
      <c r="AN377" t="s">
        <v>98</v>
      </c>
      <c r="AO377" t="s">
        <v>98</v>
      </c>
      <c r="AP377" t="s">
        <v>99</v>
      </c>
      <c r="AQ377" t="s">
        <v>102</v>
      </c>
      <c r="AV377" t="s">
        <v>98</v>
      </c>
      <c r="AX377" t="s">
        <v>253</v>
      </c>
      <c r="BF377" t="s">
        <v>1287</v>
      </c>
      <c r="BG377" t="s">
        <v>98</v>
      </c>
      <c r="BH377" t="s">
        <v>98</v>
      </c>
      <c r="BI377" t="s">
        <v>98</v>
      </c>
      <c r="BK377" t="s">
        <v>138</v>
      </c>
      <c r="CA377" t="s">
        <v>1190</v>
      </c>
      <c r="CB377" t="s">
        <v>253</v>
      </c>
      <c r="CL377" t="s">
        <v>98</v>
      </c>
      <c r="CM377" t="s">
        <v>98</v>
      </c>
      <c r="CO377" s="1">
        <v>40841</v>
      </c>
      <c r="CP377" s="1">
        <v>43595</v>
      </c>
    </row>
    <row r="378" spans="1:94" x14ac:dyDescent="0.25">
      <c r="A378" s="4" t="s">
        <v>1288</v>
      </c>
      <c r="B378" t="str">
        <f xml:space="preserve"> "" &amp; 706411041587</f>
        <v>706411041587</v>
      </c>
      <c r="C378" t="s">
        <v>786</v>
      </c>
      <c r="D378" t="s">
        <v>1289</v>
      </c>
      <c r="F378" t="s">
        <v>135</v>
      </c>
      <c r="G378">
        <v>1</v>
      </c>
      <c r="H378">
        <v>1</v>
      </c>
      <c r="I378" t="s">
        <v>97</v>
      </c>
      <c r="J378" s="32">
        <v>10.5</v>
      </c>
      <c r="K378" s="32">
        <v>31.5</v>
      </c>
      <c r="L378">
        <v>0</v>
      </c>
      <c r="N378">
        <v>0</v>
      </c>
      <c r="S378">
        <v>18</v>
      </c>
      <c r="U378">
        <v>0.75</v>
      </c>
      <c r="V378">
        <v>0.2</v>
      </c>
      <c r="W378">
        <v>1.08</v>
      </c>
      <c r="X378">
        <v>1</v>
      </c>
      <c r="Y378">
        <v>2.75</v>
      </c>
      <c r="Z378">
        <v>18.5</v>
      </c>
      <c r="AA378">
        <v>5.5</v>
      </c>
      <c r="AB378">
        <v>0.16</v>
      </c>
      <c r="AC378">
        <v>1.1459999999999999</v>
      </c>
      <c r="AK378" t="s">
        <v>98</v>
      </c>
      <c r="AM378" t="s">
        <v>98</v>
      </c>
      <c r="AN378" t="s">
        <v>98</v>
      </c>
      <c r="AO378" t="s">
        <v>98</v>
      </c>
      <c r="AP378" t="s">
        <v>99</v>
      </c>
      <c r="AQ378" t="s">
        <v>102</v>
      </c>
      <c r="AV378" t="s">
        <v>98</v>
      </c>
      <c r="AX378" t="s">
        <v>257</v>
      </c>
      <c r="BF378" t="s">
        <v>1290</v>
      </c>
      <c r="BG378" t="s">
        <v>98</v>
      </c>
      <c r="BH378" t="s">
        <v>98</v>
      </c>
      <c r="BI378" t="s">
        <v>98</v>
      </c>
      <c r="BK378" t="s">
        <v>138</v>
      </c>
      <c r="CA378" t="s">
        <v>1190</v>
      </c>
      <c r="CB378" t="s">
        <v>257</v>
      </c>
      <c r="CL378" t="s">
        <v>98</v>
      </c>
      <c r="CM378" t="s">
        <v>98</v>
      </c>
      <c r="CO378" s="1">
        <v>40841</v>
      </c>
      <c r="CP378" s="1">
        <v>43595</v>
      </c>
    </row>
    <row r="379" spans="1:94" x14ac:dyDescent="0.25">
      <c r="A379" s="4" t="s">
        <v>1291</v>
      </c>
      <c r="B379" t="str">
        <f xml:space="preserve"> "" &amp; 706411003158</f>
        <v>706411003158</v>
      </c>
      <c r="C379" t="s">
        <v>786</v>
      </c>
      <c r="D379" t="s">
        <v>1292</v>
      </c>
      <c r="F379" t="s">
        <v>135</v>
      </c>
      <c r="G379">
        <v>1</v>
      </c>
      <c r="H379">
        <v>1</v>
      </c>
      <c r="I379" t="s">
        <v>97</v>
      </c>
      <c r="J379" s="32">
        <v>10.5</v>
      </c>
      <c r="K379" s="32">
        <v>31.5</v>
      </c>
      <c r="L379">
        <v>0</v>
      </c>
      <c r="N379">
        <v>0</v>
      </c>
      <c r="S379">
        <v>18</v>
      </c>
      <c r="U379">
        <v>0.75</v>
      </c>
      <c r="V379">
        <v>0.2</v>
      </c>
      <c r="W379">
        <v>1.08</v>
      </c>
      <c r="X379">
        <v>1</v>
      </c>
      <c r="Y379">
        <v>2.75</v>
      </c>
      <c r="Z379">
        <v>18.5</v>
      </c>
      <c r="AA379">
        <v>5.5</v>
      </c>
      <c r="AB379">
        <v>0.16</v>
      </c>
      <c r="AC379">
        <v>1.1459999999999999</v>
      </c>
      <c r="AK379" t="s">
        <v>98</v>
      </c>
      <c r="AM379" t="s">
        <v>98</v>
      </c>
      <c r="AN379" t="s">
        <v>98</v>
      </c>
      <c r="AO379" t="s">
        <v>98</v>
      </c>
      <c r="AP379" t="s">
        <v>99</v>
      </c>
      <c r="AQ379" t="s">
        <v>102</v>
      </c>
      <c r="AV379" t="s">
        <v>98</v>
      </c>
      <c r="AX379" t="s">
        <v>261</v>
      </c>
      <c r="BF379" t="s">
        <v>1293</v>
      </c>
      <c r="BG379" t="s">
        <v>98</v>
      </c>
      <c r="BH379" t="s">
        <v>98</v>
      </c>
      <c r="BI379" t="s">
        <v>98</v>
      </c>
      <c r="BK379" t="s">
        <v>138</v>
      </c>
      <c r="CA379" t="s">
        <v>1190</v>
      </c>
      <c r="CB379" t="s">
        <v>261</v>
      </c>
      <c r="CL379" t="s">
        <v>98</v>
      </c>
      <c r="CM379" t="s">
        <v>98</v>
      </c>
      <c r="CO379" s="1">
        <v>39728</v>
      </c>
      <c r="CP379" s="1">
        <v>43595</v>
      </c>
    </row>
    <row r="380" spans="1:94" x14ac:dyDescent="0.25">
      <c r="A380" s="4" t="s">
        <v>1294</v>
      </c>
      <c r="B380" t="str">
        <f xml:space="preserve"> "" &amp; 706411035883</f>
        <v>706411035883</v>
      </c>
      <c r="C380" t="s">
        <v>786</v>
      </c>
      <c r="D380" t="s">
        <v>1295</v>
      </c>
      <c r="F380" t="s">
        <v>135</v>
      </c>
      <c r="G380">
        <v>1</v>
      </c>
      <c r="H380">
        <v>1</v>
      </c>
      <c r="I380" t="s">
        <v>97</v>
      </c>
      <c r="J380" s="32">
        <v>10.5</v>
      </c>
      <c r="K380" s="32">
        <v>31.5</v>
      </c>
      <c r="L380">
        <v>0</v>
      </c>
      <c r="N380">
        <v>0</v>
      </c>
      <c r="S380">
        <v>18</v>
      </c>
      <c r="U380">
        <v>0.75</v>
      </c>
      <c r="V380">
        <v>0.2</v>
      </c>
      <c r="W380">
        <v>1.08</v>
      </c>
      <c r="X380">
        <v>1</v>
      </c>
      <c r="Y380">
        <v>2.75</v>
      </c>
      <c r="Z380">
        <v>18.5</v>
      </c>
      <c r="AA380">
        <v>5.5</v>
      </c>
      <c r="AB380">
        <v>0.16</v>
      </c>
      <c r="AC380">
        <v>1.1459999999999999</v>
      </c>
      <c r="AK380" t="s">
        <v>98</v>
      </c>
      <c r="AM380" t="s">
        <v>98</v>
      </c>
      <c r="AN380" t="s">
        <v>98</v>
      </c>
      <c r="AO380" t="s">
        <v>98</v>
      </c>
      <c r="AP380" t="s">
        <v>99</v>
      </c>
      <c r="AQ380" t="s">
        <v>102</v>
      </c>
      <c r="AV380" t="s">
        <v>98</v>
      </c>
      <c r="AX380" t="s">
        <v>265</v>
      </c>
      <c r="BF380" t="s">
        <v>1296</v>
      </c>
      <c r="BG380" t="s">
        <v>98</v>
      </c>
      <c r="BH380" t="s">
        <v>98</v>
      </c>
      <c r="BI380" t="s">
        <v>98</v>
      </c>
      <c r="BK380" t="s">
        <v>138</v>
      </c>
      <c r="CA380" t="s">
        <v>1190</v>
      </c>
      <c r="CB380" t="s">
        <v>265</v>
      </c>
      <c r="CL380" t="s">
        <v>98</v>
      </c>
      <c r="CM380" t="s">
        <v>98</v>
      </c>
      <c r="CO380" s="1">
        <v>39728</v>
      </c>
      <c r="CP380" s="1">
        <v>43595</v>
      </c>
    </row>
    <row r="381" spans="1:94" x14ac:dyDescent="0.25">
      <c r="A381" s="4" t="s">
        <v>1297</v>
      </c>
      <c r="B381" t="str">
        <f xml:space="preserve"> "" &amp; 706411025099</f>
        <v>706411025099</v>
      </c>
      <c r="C381" t="s">
        <v>786</v>
      </c>
      <c r="D381" t="s">
        <v>4375</v>
      </c>
      <c r="F381" t="s">
        <v>135</v>
      </c>
      <c r="G381">
        <v>1</v>
      </c>
      <c r="H381">
        <v>1</v>
      </c>
      <c r="I381" t="s">
        <v>97</v>
      </c>
      <c r="J381" s="32">
        <v>10.5</v>
      </c>
      <c r="K381" s="32">
        <v>31.5</v>
      </c>
      <c r="L381">
        <v>0</v>
      </c>
      <c r="N381">
        <v>0</v>
      </c>
      <c r="S381">
        <v>18</v>
      </c>
      <c r="U381">
        <v>0.75</v>
      </c>
      <c r="V381">
        <v>0.2</v>
      </c>
      <c r="W381">
        <v>1.08</v>
      </c>
      <c r="X381">
        <v>1</v>
      </c>
      <c r="Y381">
        <v>2.75</v>
      </c>
      <c r="Z381">
        <v>18.5</v>
      </c>
      <c r="AA381">
        <v>5.5</v>
      </c>
      <c r="AB381">
        <v>0.16</v>
      </c>
      <c r="AC381">
        <v>1.1459999999999999</v>
      </c>
      <c r="AK381" t="s">
        <v>98</v>
      </c>
      <c r="AM381" t="s">
        <v>98</v>
      </c>
      <c r="AN381" t="s">
        <v>98</v>
      </c>
      <c r="AO381" t="s">
        <v>98</v>
      </c>
      <c r="AP381" t="s">
        <v>99</v>
      </c>
      <c r="AQ381" t="s">
        <v>102</v>
      </c>
      <c r="AV381" t="s">
        <v>98</v>
      </c>
      <c r="AX381" t="s">
        <v>426</v>
      </c>
      <c r="BF381" t="s">
        <v>1298</v>
      </c>
      <c r="BG381" t="s">
        <v>98</v>
      </c>
      <c r="BH381" t="s">
        <v>98</v>
      </c>
      <c r="BI381" t="s">
        <v>98</v>
      </c>
      <c r="BK381" t="s">
        <v>138</v>
      </c>
      <c r="CA381" t="s">
        <v>1190</v>
      </c>
      <c r="CB381" t="s">
        <v>426</v>
      </c>
      <c r="CL381" t="s">
        <v>98</v>
      </c>
      <c r="CM381" t="s">
        <v>98</v>
      </c>
      <c r="CO381" s="1">
        <v>39728</v>
      </c>
      <c r="CP381" s="1">
        <v>43595</v>
      </c>
    </row>
    <row r="382" spans="1:94" x14ac:dyDescent="0.25">
      <c r="A382" s="4" t="s">
        <v>1299</v>
      </c>
      <c r="B382" t="str">
        <f xml:space="preserve"> "" &amp; 706411044632</f>
        <v>706411044632</v>
      </c>
      <c r="C382" t="s">
        <v>786</v>
      </c>
      <c r="D382" t="s">
        <v>1300</v>
      </c>
      <c r="F382" t="s">
        <v>135</v>
      </c>
      <c r="G382">
        <v>1</v>
      </c>
      <c r="H382">
        <v>1</v>
      </c>
      <c r="I382" t="s">
        <v>97</v>
      </c>
      <c r="J382" s="32">
        <v>10.5</v>
      </c>
      <c r="K382" s="32">
        <v>31.5</v>
      </c>
      <c r="L382">
        <v>0</v>
      </c>
      <c r="N382">
        <v>0</v>
      </c>
      <c r="S382">
        <v>18</v>
      </c>
      <c r="U382">
        <v>0.75</v>
      </c>
      <c r="V382">
        <v>0.2</v>
      </c>
      <c r="W382">
        <v>1.08</v>
      </c>
      <c r="X382">
        <v>1</v>
      </c>
      <c r="Y382">
        <v>2.75</v>
      </c>
      <c r="Z382">
        <v>18.5</v>
      </c>
      <c r="AA382">
        <v>5.5</v>
      </c>
      <c r="AB382">
        <v>0.16</v>
      </c>
      <c r="AC382">
        <v>1.1459999999999999</v>
      </c>
      <c r="AK382" t="s">
        <v>98</v>
      </c>
      <c r="AM382" t="s">
        <v>98</v>
      </c>
      <c r="AN382" t="s">
        <v>98</v>
      </c>
      <c r="AO382" t="s">
        <v>98</v>
      </c>
      <c r="AP382" t="s">
        <v>99</v>
      </c>
      <c r="AQ382" t="s">
        <v>102</v>
      </c>
      <c r="AV382" t="s">
        <v>98</v>
      </c>
      <c r="AX382" t="s">
        <v>430</v>
      </c>
      <c r="BF382" t="s">
        <v>1301</v>
      </c>
      <c r="BG382" t="s">
        <v>98</v>
      </c>
      <c r="BH382" t="s">
        <v>98</v>
      </c>
      <c r="BI382" t="s">
        <v>98</v>
      </c>
      <c r="CB382" t="s">
        <v>430</v>
      </c>
      <c r="CL382" t="s">
        <v>98</v>
      </c>
      <c r="CM382" t="s">
        <v>98</v>
      </c>
      <c r="CP382" s="1">
        <v>43595</v>
      </c>
    </row>
    <row r="383" spans="1:94" x14ac:dyDescent="0.25">
      <c r="A383" s="4" t="s">
        <v>1302</v>
      </c>
      <c r="B383" t="str">
        <f xml:space="preserve"> "" &amp; 706411034756</f>
        <v>706411034756</v>
      </c>
      <c r="C383" t="s">
        <v>786</v>
      </c>
      <c r="D383" t="s">
        <v>1303</v>
      </c>
      <c r="F383" t="s">
        <v>135</v>
      </c>
      <c r="G383">
        <v>1</v>
      </c>
      <c r="H383">
        <v>1</v>
      </c>
      <c r="I383" t="s">
        <v>97</v>
      </c>
      <c r="J383" s="32">
        <v>10.5</v>
      </c>
      <c r="K383" s="32">
        <v>31.5</v>
      </c>
      <c r="L383">
        <v>0</v>
      </c>
      <c r="N383">
        <v>0</v>
      </c>
      <c r="S383">
        <v>18</v>
      </c>
      <c r="U383">
        <v>0.75</v>
      </c>
      <c r="V383">
        <v>0.2</v>
      </c>
      <c r="W383">
        <v>1.08</v>
      </c>
      <c r="X383">
        <v>1</v>
      </c>
      <c r="Y383">
        <v>2.75</v>
      </c>
      <c r="Z383">
        <v>18.5</v>
      </c>
      <c r="AA383">
        <v>5.5</v>
      </c>
      <c r="AB383">
        <v>0.16</v>
      </c>
      <c r="AC383">
        <v>1.1459999999999999</v>
      </c>
      <c r="AK383" t="s">
        <v>98</v>
      </c>
      <c r="AM383" t="s">
        <v>98</v>
      </c>
      <c r="AN383" t="s">
        <v>98</v>
      </c>
      <c r="AO383" t="s">
        <v>98</v>
      </c>
      <c r="AP383" t="s">
        <v>99</v>
      </c>
      <c r="AQ383" t="s">
        <v>102</v>
      </c>
      <c r="AV383" t="s">
        <v>98</v>
      </c>
      <c r="AX383" t="s">
        <v>1149</v>
      </c>
      <c r="BF383" t="s">
        <v>1304</v>
      </c>
      <c r="BG383" t="s">
        <v>98</v>
      </c>
      <c r="BH383" t="s">
        <v>98</v>
      </c>
      <c r="BI383" t="s">
        <v>98</v>
      </c>
      <c r="BK383" t="s">
        <v>138</v>
      </c>
      <c r="CA383" t="s">
        <v>1190</v>
      </c>
      <c r="CB383" t="s">
        <v>1149</v>
      </c>
      <c r="CL383" t="s">
        <v>98</v>
      </c>
      <c r="CM383" t="s">
        <v>98</v>
      </c>
      <c r="CO383" s="1">
        <v>39728</v>
      </c>
      <c r="CP383" s="1">
        <v>43595</v>
      </c>
    </row>
    <row r="384" spans="1:94" x14ac:dyDescent="0.25">
      <c r="A384" s="4" t="s">
        <v>1305</v>
      </c>
      <c r="B384" t="str">
        <f xml:space="preserve"> "" &amp; 706411043147</f>
        <v>706411043147</v>
      </c>
      <c r="C384" t="s">
        <v>786</v>
      </c>
      <c r="D384" t="s">
        <v>1306</v>
      </c>
      <c r="F384" t="s">
        <v>135</v>
      </c>
      <c r="G384">
        <v>1</v>
      </c>
      <c r="H384">
        <v>1</v>
      </c>
      <c r="I384" t="s">
        <v>97</v>
      </c>
      <c r="J384" s="32">
        <v>10.5</v>
      </c>
      <c r="K384" s="32">
        <v>31.5</v>
      </c>
      <c r="L384">
        <v>0</v>
      </c>
      <c r="N384">
        <v>0</v>
      </c>
      <c r="S384">
        <v>18</v>
      </c>
      <c r="U384">
        <v>0.75</v>
      </c>
      <c r="V384">
        <v>0.2</v>
      </c>
      <c r="W384">
        <v>1.08</v>
      </c>
      <c r="X384">
        <v>1</v>
      </c>
      <c r="Y384">
        <v>2.75</v>
      </c>
      <c r="Z384">
        <v>18.5</v>
      </c>
      <c r="AA384">
        <v>5.5</v>
      </c>
      <c r="AB384">
        <v>0.16</v>
      </c>
      <c r="AC384">
        <v>1.1459999999999999</v>
      </c>
      <c r="AK384" t="s">
        <v>98</v>
      </c>
      <c r="AM384" t="s">
        <v>98</v>
      </c>
      <c r="AN384" t="s">
        <v>98</v>
      </c>
      <c r="AO384" t="s">
        <v>98</v>
      </c>
      <c r="AP384" t="s">
        <v>99</v>
      </c>
      <c r="AQ384" t="s">
        <v>102</v>
      </c>
      <c r="AV384" t="s">
        <v>98</v>
      </c>
      <c r="AX384" t="s">
        <v>269</v>
      </c>
      <c r="BF384" t="s">
        <v>1307</v>
      </c>
      <c r="BG384" t="s">
        <v>98</v>
      </c>
      <c r="BH384" t="s">
        <v>98</v>
      </c>
      <c r="BI384" t="s">
        <v>98</v>
      </c>
      <c r="CB384" t="s">
        <v>269</v>
      </c>
      <c r="CL384" t="s">
        <v>98</v>
      </c>
      <c r="CM384" t="s">
        <v>98</v>
      </c>
      <c r="CP384" s="1">
        <v>43595</v>
      </c>
    </row>
    <row r="385" spans="1:94" x14ac:dyDescent="0.25">
      <c r="A385" s="4" t="s">
        <v>1308</v>
      </c>
      <c r="B385" t="str">
        <f xml:space="preserve"> "" &amp; 706411041877</f>
        <v>706411041877</v>
      </c>
      <c r="C385" t="s">
        <v>786</v>
      </c>
      <c r="D385" t="s">
        <v>1309</v>
      </c>
      <c r="F385" t="s">
        <v>135</v>
      </c>
      <c r="G385">
        <v>1</v>
      </c>
      <c r="H385">
        <v>1</v>
      </c>
      <c r="I385" t="s">
        <v>97</v>
      </c>
      <c r="J385" s="32">
        <v>10.5</v>
      </c>
      <c r="K385" s="32">
        <v>31.5</v>
      </c>
      <c r="L385">
        <v>0</v>
      </c>
      <c r="N385">
        <v>0</v>
      </c>
      <c r="S385">
        <v>18</v>
      </c>
      <c r="U385">
        <v>0.75</v>
      </c>
      <c r="V385">
        <v>0.2</v>
      </c>
      <c r="W385">
        <v>1.08</v>
      </c>
      <c r="X385">
        <v>1</v>
      </c>
      <c r="Y385">
        <v>2.75</v>
      </c>
      <c r="Z385">
        <v>18.5</v>
      </c>
      <c r="AA385">
        <v>5.5</v>
      </c>
      <c r="AB385">
        <v>0.16</v>
      </c>
      <c r="AC385">
        <v>1.1459999999999999</v>
      </c>
      <c r="AK385" t="s">
        <v>98</v>
      </c>
      <c r="AM385" t="s">
        <v>98</v>
      </c>
      <c r="AN385" t="s">
        <v>98</v>
      </c>
      <c r="AO385" t="s">
        <v>98</v>
      </c>
      <c r="AP385" t="s">
        <v>99</v>
      </c>
      <c r="AQ385" t="s">
        <v>102</v>
      </c>
      <c r="AV385" t="s">
        <v>98</v>
      </c>
      <c r="AX385" t="s">
        <v>441</v>
      </c>
      <c r="BF385" t="s">
        <v>1310</v>
      </c>
      <c r="BG385" t="s">
        <v>98</v>
      </c>
      <c r="BH385" t="s">
        <v>98</v>
      </c>
      <c r="BI385" t="s">
        <v>98</v>
      </c>
      <c r="BK385" t="s">
        <v>138</v>
      </c>
      <c r="CA385" t="s">
        <v>1190</v>
      </c>
      <c r="CB385" t="s">
        <v>441</v>
      </c>
      <c r="CL385" t="s">
        <v>98</v>
      </c>
      <c r="CM385" t="s">
        <v>98</v>
      </c>
      <c r="CO385" s="1">
        <v>40728</v>
      </c>
      <c r="CP385" s="1">
        <v>43595</v>
      </c>
    </row>
    <row r="386" spans="1:94" x14ac:dyDescent="0.25">
      <c r="A386" s="4" t="s">
        <v>1311</v>
      </c>
      <c r="B386" t="str">
        <f xml:space="preserve"> "" &amp; 706411029318</f>
        <v>706411029318</v>
      </c>
      <c r="C386" t="s">
        <v>786</v>
      </c>
      <c r="D386" t="s">
        <v>1312</v>
      </c>
      <c r="F386" t="s">
        <v>135</v>
      </c>
      <c r="G386">
        <v>1</v>
      </c>
      <c r="H386">
        <v>1</v>
      </c>
      <c r="I386" t="s">
        <v>97</v>
      </c>
      <c r="J386" s="32">
        <v>10.5</v>
      </c>
      <c r="K386" s="32">
        <v>31.5</v>
      </c>
      <c r="L386">
        <v>0</v>
      </c>
      <c r="N386">
        <v>0</v>
      </c>
      <c r="S386">
        <v>18</v>
      </c>
      <c r="U386">
        <v>0.75</v>
      </c>
      <c r="V386">
        <v>0.2</v>
      </c>
      <c r="W386">
        <v>1.08</v>
      </c>
      <c r="X386">
        <v>1</v>
      </c>
      <c r="Y386">
        <v>2.75</v>
      </c>
      <c r="Z386">
        <v>18.5</v>
      </c>
      <c r="AA386">
        <v>5.5</v>
      </c>
      <c r="AB386">
        <v>0.16</v>
      </c>
      <c r="AC386">
        <v>1.1459999999999999</v>
      </c>
      <c r="AK386" t="s">
        <v>98</v>
      </c>
      <c r="AM386" t="s">
        <v>98</v>
      </c>
      <c r="AN386" t="s">
        <v>98</v>
      </c>
      <c r="AO386" t="s">
        <v>98</v>
      </c>
      <c r="AP386" t="s">
        <v>99</v>
      </c>
      <c r="AQ386" t="s">
        <v>102</v>
      </c>
      <c r="AV386" t="s">
        <v>98</v>
      </c>
      <c r="AX386" t="s">
        <v>273</v>
      </c>
      <c r="BF386" t="s">
        <v>1313</v>
      </c>
      <c r="BG386" t="s">
        <v>98</v>
      </c>
      <c r="BH386" t="s">
        <v>98</v>
      </c>
      <c r="BI386" t="s">
        <v>98</v>
      </c>
      <c r="BK386" t="s">
        <v>138</v>
      </c>
      <c r="CA386" t="s">
        <v>1190</v>
      </c>
      <c r="CB386" t="s">
        <v>273</v>
      </c>
      <c r="CL386" t="s">
        <v>98</v>
      </c>
      <c r="CM386" t="s">
        <v>98</v>
      </c>
      <c r="CO386" s="1">
        <v>39728</v>
      </c>
      <c r="CP386" s="1">
        <v>43595</v>
      </c>
    </row>
    <row r="387" spans="1:94" x14ac:dyDescent="0.25">
      <c r="A387" s="4" t="s">
        <v>1314</v>
      </c>
      <c r="B387" t="str">
        <f xml:space="preserve"> "" &amp; 706411025792</f>
        <v>706411025792</v>
      </c>
      <c r="C387" t="s">
        <v>786</v>
      </c>
      <c r="D387" t="s">
        <v>1315</v>
      </c>
      <c r="F387" t="s">
        <v>135</v>
      </c>
      <c r="G387">
        <v>1</v>
      </c>
      <c r="H387">
        <v>1</v>
      </c>
      <c r="I387" t="s">
        <v>97</v>
      </c>
      <c r="J387" s="32">
        <v>10.5</v>
      </c>
      <c r="K387" s="32">
        <v>31.5</v>
      </c>
      <c r="L387">
        <v>0</v>
      </c>
      <c r="N387">
        <v>0</v>
      </c>
      <c r="S387">
        <v>18</v>
      </c>
      <c r="U387">
        <v>0.75</v>
      </c>
      <c r="V387">
        <v>0.2</v>
      </c>
      <c r="W387">
        <v>1.08</v>
      </c>
      <c r="X387">
        <v>1</v>
      </c>
      <c r="Y387">
        <v>2.75</v>
      </c>
      <c r="Z387">
        <v>18.5</v>
      </c>
      <c r="AA387">
        <v>5.5</v>
      </c>
      <c r="AB387">
        <v>0.16</v>
      </c>
      <c r="AC387">
        <v>1.1459999999999999</v>
      </c>
      <c r="AK387" t="s">
        <v>98</v>
      </c>
      <c r="AM387" t="s">
        <v>98</v>
      </c>
      <c r="AN387" t="s">
        <v>98</v>
      </c>
      <c r="AO387" t="s">
        <v>98</v>
      </c>
      <c r="AP387" t="s">
        <v>99</v>
      </c>
      <c r="AQ387" t="s">
        <v>102</v>
      </c>
      <c r="AV387" t="s">
        <v>98</v>
      </c>
      <c r="AX387" t="s">
        <v>277</v>
      </c>
      <c r="BF387" t="s">
        <v>1316</v>
      </c>
      <c r="BG387" t="s">
        <v>98</v>
      </c>
      <c r="BH387" t="s">
        <v>98</v>
      </c>
      <c r="BI387" t="s">
        <v>98</v>
      </c>
      <c r="BK387" t="s">
        <v>138</v>
      </c>
      <c r="CA387" t="s">
        <v>1190</v>
      </c>
      <c r="CB387" t="s">
        <v>277</v>
      </c>
      <c r="CL387" t="s">
        <v>98</v>
      </c>
      <c r="CM387" t="s">
        <v>98</v>
      </c>
      <c r="CO387" s="1">
        <v>39728</v>
      </c>
      <c r="CP387" s="1">
        <v>43595</v>
      </c>
    </row>
    <row r="388" spans="1:94" x14ac:dyDescent="0.25">
      <c r="A388" s="4" t="s">
        <v>1317</v>
      </c>
      <c r="B388" t="str">
        <f xml:space="preserve"> "" &amp; 706411061431</f>
        <v>706411061431</v>
      </c>
      <c r="C388" t="s">
        <v>786</v>
      </c>
      <c r="D388" t="s">
        <v>1318</v>
      </c>
      <c r="F388" t="s">
        <v>135</v>
      </c>
      <c r="G388">
        <v>1</v>
      </c>
      <c r="H388">
        <v>1</v>
      </c>
      <c r="I388" t="s">
        <v>97</v>
      </c>
      <c r="J388" s="32">
        <v>10.5</v>
      </c>
      <c r="K388" s="32">
        <v>31.5</v>
      </c>
      <c r="L388">
        <v>0</v>
      </c>
      <c r="N388">
        <v>0</v>
      </c>
      <c r="S388">
        <v>18</v>
      </c>
      <c r="U388">
        <v>0.75</v>
      </c>
      <c r="V388">
        <v>0.2</v>
      </c>
      <c r="W388">
        <v>1.08</v>
      </c>
      <c r="X388">
        <v>1</v>
      </c>
      <c r="Y388">
        <v>2.75</v>
      </c>
      <c r="Z388">
        <v>18.5</v>
      </c>
      <c r="AA388">
        <v>5.5</v>
      </c>
      <c r="AB388">
        <v>0.16</v>
      </c>
      <c r="AC388">
        <v>1.1459999999999999</v>
      </c>
      <c r="AK388" t="s">
        <v>98</v>
      </c>
      <c r="AM388" t="s">
        <v>98</v>
      </c>
      <c r="AN388" t="s">
        <v>98</v>
      </c>
      <c r="AO388" t="s">
        <v>98</v>
      </c>
      <c r="AP388" t="s">
        <v>99</v>
      </c>
      <c r="AQ388" t="s">
        <v>102</v>
      </c>
      <c r="AV388" t="s">
        <v>98</v>
      </c>
      <c r="AX388" t="s">
        <v>281</v>
      </c>
      <c r="BF388" t="s">
        <v>1319</v>
      </c>
      <c r="BG388" t="s">
        <v>98</v>
      </c>
      <c r="BH388" t="s">
        <v>98</v>
      </c>
      <c r="BI388" t="s">
        <v>98</v>
      </c>
      <c r="BK388" t="s">
        <v>138</v>
      </c>
      <c r="CB388" t="s">
        <v>281</v>
      </c>
      <c r="CL388" t="s">
        <v>98</v>
      </c>
      <c r="CM388" t="s">
        <v>98</v>
      </c>
      <c r="CN388" t="s">
        <v>349</v>
      </c>
      <c r="CO388" s="1">
        <v>43388</v>
      </c>
      <c r="CP388" s="1">
        <v>43595</v>
      </c>
    </row>
    <row r="389" spans="1:94" x14ac:dyDescent="0.25">
      <c r="A389" s="4" t="s">
        <v>1320</v>
      </c>
      <c r="B389" t="str">
        <f xml:space="preserve"> "" &amp; 706411019869</f>
        <v>706411019869</v>
      </c>
      <c r="C389" t="s">
        <v>786</v>
      </c>
      <c r="D389" t="s">
        <v>4376</v>
      </c>
      <c r="F389" t="s">
        <v>135</v>
      </c>
      <c r="G389">
        <v>1</v>
      </c>
      <c r="H389">
        <v>1</v>
      </c>
      <c r="I389" t="s">
        <v>97</v>
      </c>
      <c r="J389" s="32">
        <v>10.5</v>
      </c>
      <c r="K389" s="32">
        <v>31.5</v>
      </c>
      <c r="L389">
        <v>0</v>
      </c>
      <c r="N389">
        <v>0</v>
      </c>
      <c r="S389">
        <v>18</v>
      </c>
      <c r="U389">
        <v>0.75</v>
      </c>
      <c r="V389">
        <v>0.2</v>
      </c>
      <c r="W389">
        <v>1.08</v>
      </c>
      <c r="X389">
        <v>1</v>
      </c>
      <c r="Y389">
        <v>2.75</v>
      </c>
      <c r="Z389">
        <v>18.5</v>
      </c>
      <c r="AA389">
        <v>5.5</v>
      </c>
      <c r="AB389">
        <v>0.16</v>
      </c>
      <c r="AC389">
        <v>1.1459999999999999</v>
      </c>
      <c r="AK389" t="s">
        <v>98</v>
      </c>
      <c r="AM389" t="s">
        <v>98</v>
      </c>
      <c r="AN389" t="s">
        <v>98</v>
      </c>
      <c r="AO389" t="s">
        <v>98</v>
      </c>
      <c r="AP389" t="s">
        <v>99</v>
      </c>
      <c r="AQ389" t="s">
        <v>102</v>
      </c>
      <c r="AV389" t="s">
        <v>98</v>
      </c>
      <c r="AX389" t="s">
        <v>284</v>
      </c>
      <c r="BF389" t="s">
        <v>1321</v>
      </c>
      <c r="BG389" t="s">
        <v>98</v>
      </c>
      <c r="BH389" t="s">
        <v>98</v>
      </c>
      <c r="BI389" t="s">
        <v>98</v>
      </c>
      <c r="BK389" t="s">
        <v>138</v>
      </c>
      <c r="CA389" t="s">
        <v>1190</v>
      </c>
      <c r="CB389" t="s">
        <v>284</v>
      </c>
      <c r="CL389" t="s">
        <v>98</v>
      </c>
      <c r="CM389" t="s">
        <v>98</v>
      </c>
      <c r="CO389" s="1">
        <v>39728</v>
      </c>
      <c r="CP389" s="1">
        <v>43595</v>
      </c>
    </row>
    <row r="390" spans="1:94" x14ac:dyDescent="0.25">
      <c r="A390" s="4" t="s">
        <v>1322</v>
      </c>
      <c r="B390" t="str">
        <f xml:space="preserve"> "" &amp; 706411062391</f>
        <v>706411062391</v>
      </c>
      <c r="C390" t="s">
        <v>786</v>
      </c>
      <c r="D390" t="s">
        <v>1323</v>
      </c>
      <c r="F390" t="s">
        <v>135</v>
      </c>
      <c r="G390">
        <v>1</v>
      </c>
      <c r="H390">
        <v>1</v>
      </c>
      <c r="I390" t="s">
        <v>97</v>
      </c>
      <c r="J390" s="32">
        <v>10.5</v>
      </c>
      <c r="K390" s="32">
        <v>31.5</v>
      </c>
      <c r="L390">
        <v>0</v>
      </c>
      <c r="N390">
        <v>0</v>
      </c>
      <c r="S390">
        <v>18</v>
      </c>
      <c r="U390">
        <v>0.75</v>
      </c>
      <c r="V390">
        <v>0.2</v>
      </c>
      <c r="W390">
        <v>1.08</v>
      </c>
      <c r="X390">
        <v>1</v>
      </c>
      <c r="Y390">
        <v>2.75</v>
      </c>
      <c r="Z390">
        <v>18.5</v>
      </c>
      <c r="AA390">
        <v>5.5</v>
      </c>
      <c r="AB390">
        <v>0.16</v>
      </c>
      <c r="AC390">
        <v>1.1459999999999999</v>
      </c>
      <c r="AK390" t="s">
        <v>98</v>
      </c>
      <c r="AM390" t="s">
        <v>98</v>
      </c>
      <c r="AN390" t="s">
        <v>98</v>
      </c>
      <c r="AO390" t="s">
        <v>98</v>
      </c>
      <c r="AP390" t="s">
        <v>99</v>
      </c>
      <c r="AQ390" t="s">
        <v>102</v>
      </c>
      <c r="AV390" t="s">
        <v>98</v>
      </c>
      <c r="AX390" t="s">
        <v>289</v>
      </c>
      <c r="BF390" t="s">
        <v>1324</v>
      </c>
      <c r="BG390" t="s">
        <v>98</v>
      </c>
      <c r="BH390" t="s">
        <v>98</v>
      </c>
      <c r="BI390" t="s">
        <v>98</v>
      </c>
      <c r="BJ390" t="s">
        <v>291</v>
      </c>
      <c r="BK390" t="s">
        <v>292</v>
      </c>
      <c r="CA390" t="s">
        <v>1190</v>
      </c>
      <c r="CB390" t="s">
        <v>289</v>
      </c>
      <c r="CL390" t="s">
        <v>98</v>
      </c>
      <c r="CM390" t="s">
        <v>98</v>
      </c>
      <c r="CN390" t="s">
        <v>349</v>
      </c>
      <c r="CO390" s="1">
        <v>43571</v>
      </c>
      <c r="CP390" s="1">
        <v>43588</v>
      </c>
    </row>
    <row r="391" spans="1:94" x14ac:dyDescent="0.25">
      <c r="A391" s="4" t="s">
        <v>1325</v>
      </c>
      <c r="B391" t="str">
        <f xml:space="preserve"> "" &amp; 706411300660</f>
        <v>706411300660</v>
      </c>
      <c r="C391" t="s">
        <v>786</v>
      </c>
      <c r="D391" t="s">
        <v>4378</v>
      </c>
      <c r="F391" t="s">
        <v>135</v>
      </c>
      <c r="G391">
        <v>1</v>
      </c>
      <c r="H391">
        <v>1</v>
      </c>
      <c r="I391" t="s">
        <v>97</v>
      </c>
      <c r="J391" s="32">
        <v>10.5</v>
      </c>
      <c r="K391" s="32">
        <v>31.5</v>
      </c>
      <c r="L391">
        <v>0</v>
      </c>
      <c r="N391">
        <v>0</v>
      </c>
      <c r="S391">
        <v>18</v>
      </c>
      <c r="U391">
        <v>0.75</v>
      </c>
      <c r="V391">
        <v>0.2</v>
      </c>
      <c r="W391">
        <v>1.08</v>
      </c>
      <c r="X391">
        <v>1</v>
      </c>
      <c r="Y391">
        <v>2.75</v>
      </c>
      <c r="Z391">
        <v>18.5</v>
      </c>
      <c r="AA391">
        <v>5.5</v>
      </c>
      <c r="AB391">
        <v>0.16</v>
      </c>
      <c r="AC391">
        <v>1.1459999999999999</v>
      </c>
      <c r="AK391" t="s">
        <v>98</v>
      </c>
      <c r="AM391" t="s">
        <v>98</v>
      </c>
      <c r="AN391" t="s">
        <v>98</v>
      </c>
      <c r="AO391" t="s">
        <v>98</v>
      </c>
      <c r="AP391" t="s">
        <v>99</v>
      </c>
      <c r="AQ391" t="s">
        <v>102</v>
      </c>
      <c r="AV391" t="s">
        <v>98</v>
      </c>
      <c r="AX391" t="s">
        <v>458</v>
      </c>
      <c r="BF391" t="s">
        <v>1326</v>
      </c>
      <c r="BG391" t="s">
        <v>98</v>
      </c>
      <c r="BH391" t="s">
        <v>98</v>
      </c>
      <c r="BI391" t="s">
        <v>98</v>
      </c>
      <c r="BK391" t="s">
        <v>138</v>
      </c>
      <c r="CA391" t="s">
        <v>1190</v>
      </c>
      <c r="CB391" t="s">
        <v>458</v>
      </c>
      <c r="CL391" t="s">
        <v>98</v>
      </c>
      <c r="CM391" t="s">
        <v>98</v>
      </c>
      <c r="CO391" s="1">
        <v>39728</v>
      </c>
      <c r="CP391" s="1">
        <v>43595</v>
      </c>
    </row>
    <row r="392" spans="1:94" x14ac:dyDescent="0.25">
      <c r="A392" s="4" t="s">
        <v>1327</v>
      </c>
      <c r="B392" t="str">
        <f xml:space="preserve"> "" &amp; 706411043154</f>
        <v>706411043154</v>
      </c>
      <c r="C392" t="s">
        <v>786</v>
      </c>
      <c r="D392" t="s">
        <v>1328</v>
      </c>
      <c r="F392" t="s">
        <v>135</v>
      </c>
      <c r="G392">
        <v>1</v>
      </c>
      <c r="H392">
        <v>1</v>
      </c>
      <c r="I392" t="s">
        <v>97</v>
      </c>
      <c r="J392" s="32">
        <v>10.5</v>
      </c>
      <c r="K392" s="32">
        <v>31.5</v>
      </c>
      <c r="L392">
        <v>0</v>
      </c>
      <c r="N392">
        <v>0</v>
      </c>
      <c r="S392">
        <v>18</v>
      </c>
      <c r="U392">
        <v>0.75</v>
      </c>
      <c r="V392">
        <v>0.2</v>
      </c>
      <c r="W392">
        <v>1.08</v>
      </c>
      <c r="X392">
        <v>1</v>
      </c>
      <c r="Y392">
        <v>2.75</v>
      </c>
      <c r="Z392">
        <v>18.5</v>
      </c>
      <c r="AA392">
        <v>5.5</v>
      </c>
      <c r="AB392">
        <v>0.16</v>
      </c>
      <c r="AC392">
        <v>1.1459999999999999</v>
      </c>
      <c r="AK392" t="s">
        <v>98</v>
      </c>
      <c r="AM392" t="s">
        <v>98</v>
      </c>
      <c r="AN392" t="s">
        <v>98</v>
      </c>
      <c r="AO392" t="s">
        <v>98</v>
      </c>
      <c r="AP392" t="s">
        <v>99</v>
      </c>
      <c r="AQ392" t="s">
        <v>102</v>
      </c>
      <c r="AV392" t="s">
        <v>98</v>
      </c>
      <c r="AX392" t="s">
        <v>295</v>
      </c>
      <c r="BF392" t="s">
        <v>1329</v>
      </c>
      <c r="BG392" t="s">
        <v>98</v>
      </c>
      <c r="BH392" t="s">
        <v>98</v>
      </c>
      <c r="BI392" t="s">
        <v>98</v>
      </c>
      <c r="CB392" t="s">
        <v>295</v>
      </c>
      <c r="CL392" t="s">
        <v>98</v>
      </c>
      <c r="CM392" t="s">
        <v>98</v>
      </c>
      <c r="CP392" s="1">
        <v>43595</v>
      </c>
    </row>
    <row r="393" spans="1:94" x14ac:dyDescent="0.25">
      <c r="A393" s="4" t="s">
        <v>1330</v>
      </c>
      <c r="B393" t="str">
        <f xml:space="preserve"> "" &amp; 706411019876</f>
        <v>706411019876</v>
      </c>
      <c r="C393" t="s">
        <v>786</v>
      </c>
      <c r="D393" t="s">
        <v>4377</v>
      </c>
      <c r="F393" t="s">
        <v>135</v>
      </c>
      <c r="G393">
        <v>1</v>
      </c>
      <c r="H393">
        <v>1</v>
      </c>
      <c r="I393" t="s">
        <v>97</v>
      </c>
      <c r="J393" s="32">
        <v>10.5</v>
      </c>
      <c r="K393" s="32">
        <v>31.5</v>
      </c>
      <c r="L393">
        <v>0</v>
      </c>
      <c r="N393">
        <v>0</v>
      </c>
      <c r="S393">
        <v>18</v>
      </c>
      <c r="U393">
        <v>0.75</v>
      </c>
      <c r="V393">
        <v>0.2</v>
      </c>
      <c r="W393">
        <v>1.08</v>
      </c>
      <c r="X393">
        <v>1</v>
      </c>
      <c r="Y393">
        <v>2.75</v>
      </c>
      <c r="Z393">
        <v>18.5</v>
      </c>
      <c r="AA393">
        <v>5.5</v>
      </c>
      <c r="AB393">
        <v>0.16</v>
      </c>
      <c r="AC393">
        <v>1.1459999999999999</v>
      </c>
      <c r="AK393" t="s">
        <v>98</v>
      </c>
      <c r="AM393" t="s">
        <v>98</v>
      </c>
      <c r="AN393" t="s">
        <v>98</v>
      </c>
      <c r="AO393" t="s">
        <v>98</v>
      </c>
      <c r="AP393" t="s">
        <v>99</v>
      </c>
      <c r="AQ393" t="s">
        <v>102</v>
      </c>
      <c r="AV393" t="s">
        <v>98</v>
      </c>
      <c r="AX393" t="s">
        <v>298</v>
      </c>
      <c r="BF393" t="s">
        <v>1331</v>
      </c>
      <c r="BG393" t="s">
        <v>98</v>
      </c>
      <c r="BH393" t="s">
        <v>98</v>
      </c>
      <c r="BI393" t="s">
        <v>98</v>
      </c>
      <c r="BK393" t="s">
        <v>138</v>
      </c>
      <c r="CA393" t="s">
        <v>1190</v>
      </c>
      <c r="CB393" t="s">
        <v>298</v>
      </c>
      <c r="CL393" t="s">
        <v>98</v>
      </c>
      <c r="CM393" t="s">
        <v>98</v>
      </c>
      <c r="CO393" s="1">
        <v>39728</v>
      </c>
      <c r="CP393" s="1">
        <v>43595</v>
      </c>
    </row>
    <row r="394" spans="1:94" x14ac:dyDescent="0.25">
      <c r="A394" s="4" t="s">
        <v>1332</v>
      </c>
      <c r="B394" t="str">
        <f xml:space="preserve"> "" &amp; 706411055140</f>
        <v>706411055140</v>
      </c>
      <c r="C394" t="s">
        <v>786</v>
      </c>
      <c r="D394" t="s">
        <v>1333</v>
      </c>
      <c r="F394" t="s">
        <v>135</v>
      </c>
      <c r="G394">
        <v>1</v>
      </c>
      <c r="H394">
        <v>1</v>
      </c>
      <c r="I394" t="s">
        <v>97</v>
      </c>
      <c r="J394" s="32">
        <v>10.5</v>
      </c>
      <c r="K394" s="32">
        <v>31.5</v>
      </c>
      <c r="L394">
        <v>0</v>
      </c>
      <c r="N394">
        <v>0</v>
      </c>
      <c r="S394">
        <v>18</v>
      </c>
      <c r="U394">
        <v>0.75</v>
      </c>
      <c r="V394">
        <v>0.2</v>
      </c>
      <c r="W394">
        <v>1.08</v>
      </c>
      <c r="X394">
        <v>1</v>
      </c>
      <c r="Y394">
        <v>2.75</v>
      </c>
      <c r="Z394">
        <v>18.5</v>
      </c>
      <c r="AA394">
        <v>5.5</v>
      </c>
      <c r="AB394">
        <v>0.16</v>
      </c>
      <c r="AC394">
        <v>11.49</v>
      </c>
      <c r="AK394" t="s">
        <v>98</v>
      </c>
      <c r="AM394" t="s">
        <v>98</v>
      </c>
      <c r="AN394" t="s">
        <v>98</v>
      </c>
      <c r="AO394" t="s">
        <v>98</v>
      </c>
      <c r="AP394" t="s">
        <v>99</v>
      </c>
      <c r="AQ394" t="s">
        <v>102</v>
      </c>
      <c r="AV394" t="s">
        <v>98</v>
      </c>
      <c r="AX394" t="s">
        <v>956</v>
      </c>
      <c r="AZ394" t="s">
        <v>109</v>
      </c>
      <c r="BF394" t="s">
        <v>1334</v>
      </c>
      <c r="BG394" t="s">
        <v>98</v>
      </c>
      <c r="BH394" t="s">
        <v>98</v>
      </c>
      <c r="BI394" t="s">
        <v>98</v>
      </c>
      <c r="BJ394" t="s">
        <v>291</v>
      </c>
      <c r="BK394" t="s">
        <v>292</v>
      </c>
      <c r="CA394" t="s">
        <v>1190</v>
      </c>
      <c r="CB394" t="s">
        <v>956</v>
      </c>
      <c r="CL394" t="s">
        <v>98</v>
      </c>
      <c r="CM394" t="s">
        <v>98</v>
      </c>
      <c r="CN394" t="s">
        <v>349</v>
      </c>
      <c r="CO394" s="1">
        <v>42599</v>
      </c>
      <c r="CP394" s="1">
        <v>43595</v>
      </c>
    </row>
    <row r="395" spans="1:94" x14ac:dyDescent="0.25">
      <c r="A395" s="4" t="s">
        <v>1335</v>
      </c>
      <c r="B395" t="str">
        <f xml:space="preserve"> "" &amp; 706411020384</f>
        <v>706411020384</v>
      </c>
      <c r="C395" t="s">
        <v>786</v>
      </c>
      <c r="D395" t="s">
        <v>1336</v>
      </c>
      <c r="F395" t="s">
        <v>135</v>
      </c>
      <c r="G395">
        <v>1</v>
      </c>
      <c r="H395">
        <v>1</v>
      </c>
      <c r="I395" t="s">
        <v>97</v>
      </c>
      <c r="J395" s="32">
        <v>10.5</v>
      </c>
      <c r="K395" s="32">
        <v>31.5</v>
      </c>
      <c r="L395">
        <v>0</v>
      </c>
      <c r="N395">
        <v>0</v>
      </c>
      <c r="S395">
        <v>18</v>
      </c>
      <c r="U395">
        <v>0.75</v>
      </c>
      <c r="V395">
        <v>0.2</v>
      </c>
      <c r="W395">
        <v>1.08</v>
      </c>
      <c r="X395">
        <v>1</v>
      </c>
      <c r="Y395">
        <v>2.75</v>
      </c>
      <c r="Z395">
        <v>18.5</v>
      </c>
      <c r="AA395">
        <v>5.5</v>
      </c>
      <c r="AB395">
        <v>0.16</v>
      </c>
      <c r="AC395">
        <v>1.1459999999999999</v>
      </c>
      <c r="AK395" t="s">
        <v>98</v>
      </c>
      <c r="AM395" t="s">
        <v>98</v>
      </c>
      <c r="AN395" t="s">
        <v>98</v>
      </c>
      <c r="AO395" t="s">
        <v>98</v>
      </c>
      <c r="AP395" t="s">
        <v>99</v>
      </c>
      <c r="AQ395" t="s">
        <v>102</v>
      </c>
      <c r="AV395" t="s">
        <v>98</v>
      </c>
      <c r="AX395" t="s">
        <v>306</v>
      </c>
      <c r="BF395" t="s">
        <v>1337</v>
      </c>
      <c r="BG395" t="s">
        <v>98</v>
      </c>
      <c r="BH395" t="s">
        <v>98</v>
      </c>
      <c r="BI395" t="s">
        <v>98</v>
      </c>
      <c r="BK395" t="s">
        <v>138</v>
      </c>
      <c r="CA395" t="s">
        <v>1190</v>
      </c>
      <c r="CB395" t="s">
        <v>306</v>
      </c>
      <c r="CL395" t="s">
        <v>98</v>
      </c>
      <c r="CM395" t="s">
        <v>98</v>
      </c>
      <c r="CO395" s="1">
        <v>39728</v>
      </c>
      <c r="CP395" s="1">
        <v>43595</v>
      </c>
    </row>
    <row r="396" spans="1:94" x14ac:dyDescent="0.25">
      <c r="A396" s="4" t="s">
        <v>1338</v>
      </c>
      <c r="B396" t="str">
        <f xml:space="preserve"> "" &amp; 706411003165</f>
        <v>706411003165</v>
      </c>
      <c r="C396" t="s">
        <v>786</v>
      </c>
      <c r="D396" t="s">
        <v>1339</v>
      </c>
      <c r="F396" t="s">
        <v>135</v>
      </c>
      <c r="G396">
        <v>1</v>
      </c>
      <c r="H396">
        <v>1</v>
      </c>
      <c r="I396" t="s">
        <v>97</v>
      </c>
      <c r="J396" s="32">
        <v>12.75</v>
      </c>
      <c r="K396" s="32">
        <v>38.25</v>
      </c>
      <c r="L396">
        <v>0</v>
      </c>
      <c r="N396">
        <v>0</v>
      </c>
      <c r="S396">
        <v>24</v>
      </c>
      <c r="U396">
        <v>0.75</v>
      </c>
      <c r="V396">
        <v>0.2</v>
      </c>
      <c r="W396">
        <v>1.5</v>
      </c>
      <c r="X396">
        <v>1</v>
      </c>
      <c r="Y396">
        <v>2.63</v>
      </c>
      <c r="Z396">
        <v>24.5</v>
      </c>
      <c r="AA396">
        <v>5.5</v>
      </c>
      <c r="AB396">
        <v>0.21</v>
      </c>
      <c r="AC396">
        <v>1.514</v>
      </c>
      <c r="AK396" t="s">
        <v>98</v>
      </c>
      <c r="AM396" t="s">
        <v>98</v>
      </c>
      <c r="AN396" t="s">
        <v>98</v>
      </c>
      <c r="AO396" t="s">
        <v>98</v>
      </c>
      <c r="AP396" t="s">
        <v>99</v>
      </c>
      <c r="AQ396" t="s">
        <v>102</v>
      </c>
      <c r="AV396" t="s">
        <v>98</v>
      </c>
      <c r="AX396" t="s">
        <v>302</v>
      </c>
      <c r="BF396" t="s">
        <v>1340</v>
      </c>
      <c r="BG396" t="s">
        <v>98</v>
      </c>
      <c r="BH396" t="s">
        <v>98</v>
      </c>
      <c r="BI396" t="s">
        <v>98</v>
      </c>
      <c r="CB396" t="s">
        <v>302</v>
      </c>
      <c r="CL396" t="s">
        <v>98</v>
      </c>
      <c r="CM396" t="s">
        <v>98</v>
      </c>
      <c r="CP396" s="1">
        <v>43595</v>
      </c>
    </row>
    <row r="397" spans="1:94" x14ac:dyDescent="0.25">
      <c r="A397" s="4" t="s">
        <v>1341</v>
      </c>
      <c r="B397" t="str">
        <f xml:space="preserve"> "" &amp; 706411050619</f>
        <v>706411050619</v>
      </c>
      <c r="C397" t="s">
        <v>786</v>
      </c>
      <c r="D397" t="s">
        <v>1342</v>
      </c>
      <c r="F397" t="s">
        <v>135</v>
      </c>
      <c r="G397">
        <v>1</v>
      </c>
      <c r="H397">
        <v>1</v>
      </c>
      <c r="I397" t="s">
        <v>97</v>
      </c>
      <c r="J397" s="32">
        <v>12.75</v>
      </c>
      <c r="K397" s="32">
        <v>38.25</v>
      </c>
      <c r="L397">
        <v>0</v>
      </c>
      <c r="N397">
        <v>0</v>
      </c>
      <c r="S397">
        <v>24</v>
      </c>
      <c r="U397">
        <v>0.75</v>
      </c>
      <c r="V397">
        <v>0.2</v>
      </c>
      <c r="W397">
        <v>1.5</v>
      </c>
      <c r="X397">
        <v>1</v>
      </c>
      <c r="Y397">
        <v>2.63</v>
      </c>
      <c r="Z397">
        <v>24.5</v>
      </c>
      <c r="AA397">
        <v>5.5</v>
      </c>
      <c r="AB397">
        <v>0.21</v>
      </c>
      <c r="AC397">
        <v>1.514</v>
      </c>
      <c r="AK397" t="s">
        <v>98</v>
      </c>
      <c r="AM397" t="s">
        <v>98</v>
      </c>
      <c r="AN397" t="s">
        <v>98</v>
      </c>
      <c r="AO397" t="s">
        <v>98</v>
      </c>
      <c r="AP397" t="s">
        <v>99</v>
      </c>
      <c r="AQ397" t="s">
        <v>102</v>
      </c>
      <c r="AV397" t="s">
        <v>98</v>
      </c>
      <c r="AX397" t="s">
        <v>311</v>
      </c>
      <c r="BF397" t="s">
        <v>1343</v>
      </c>
      <c r="BG397" t="s">
        <v>98</v>
      </c>
      <c r="BH397" t="s">
        <v>98</v>
      </c>
      <c r="BI397" t="s">
        <v>98</v>
      </c>
      <c r="BJ397" t="s">
        <v>291</v>
      </c>
      <c r="BK397" t="s">
        <v>292</v>
      </c>
      <c r="CA397" t="s">
        <v>1344</v>
      </c>
      <c r="CB397" t="s">
        <v>311</v>
      </c>
      <c r="CL397" t="s">
        <v>98</v>
      </c>
      <c r="CM397" t="s">
        <v>98</v>
      </c>
      <c r="CN397" t="s">
        <v>700</v>
      </c>
      <c r="CO397" s="1">
        <v>43414</v>
      </c>
      <c r="CP397" s="1">
        <v>43595</v>
      </c>
    </row>
    <row r="398" spans="1:94" x14ac:dyDescent="0.25">
      <c r="A398" s="4" t="s">
        <v>1345</v>
      </c>
      <c r="B398" t="str">
        <f xml:space="preserve"> "" &amp; 706411019883</f>
        <v>706411019883</v>
      </c>
      <c r="C398" t="s">
        <v>786</v>
      </c>
      <c r="D398" t="s">
        <v>4380</v>
      </c>
      <c r="F398" t="s">
        <v>135</v>
      </c>
      <c r="G398">
        <v>1</v>
      </c>
      <c r="H398">
        <v>1</v>
      </c>
      <c r="I398" t="s">
        <v>97</v>
      </c>
      <c r="J398" s="32">
        <v>12.75</v>
      </c>
      <c r="K398" s="32">
        <v>38.25</v>
      </c>
      <c r="L398">
        <v>0</v>
      </c>
      <c r="N398">
        <v>0</v>
      </c>
      <c r="S398">
        <v>24</v>
      </c>
      <c r="U398">
        <v>0.75</v>
      </c>
      <c r="V398">
        <v>0.2</v>
      </c>
      <c r="W398">
        <v>1.5</v>
      </c>
      <c r="X398">
        <v>1</v>
      </c>
      <c r="Y398">
        <v>2.63</v>
      </c>
      <c r="Z398">
        <v>24.5</v>
      </c>
      <c r="AA398">
        <v>5.5</v>
      </c>
      <c r="AB398">
        <v>0.21</v>
      </c>
      <c r="AC398">
        <v>1.514</v>
      </c>
      <c r="AK398" t="s">
        <v>98</v>
      </c>
      <c r="AM398" t="s">
        <v>98</v>
      </c>
      <c r="AN398" t="s">
        <v>98</v>
      </c>
      <c r="AO398" t="s">
        <v>98</v>
      </c>
      <c r="AP398" t="s">
        <v>99</v>
      </c>
      <c r="AQ398" t="s">
        <v>102</v>
      </c>
      <c r="AV398" t="s">
        <v>98</v>
      </c>
      <c r="AX398" t="s">
        <v>136</v>
      </c>
      <c r="BF398" t="s">
        <v>1346</v>
      </c>
      <c r="BG398" t="s">
        <v>98</v>
      </c>
      <c r="BH398" t="s">
        <v>98</v>
      </c>
      <c r="BI398" t="s">
        <v>98</v>
      </c>
      <c r="BK398" t="s">
        <v>138</v>
      </c>
      <c r="CA398" t="s">
        <v>1347</v>
      </c>
      <c r="CB398" t="s">
        <v>136</v>
      </c>
      <c r="CL398" t="s">
        <v>98</v>
      </c>
      <c r="CM398" t="s">
        <v>98</v>
      </c>
      <c r="CO398" s="1">
        <v>39728</v>
      </c>
      <c r="CP398" s="1">
        <v>43595</v>
      </c>
    </row>
    <row r="399" spans="1:94" x14ac:dyDescent="0.25">
      <c r="A399" s="4" t="s">
        <v>1348</v>
      </c>
      <c r="B399" t="str">
        <f xml:space="preserve"> "" &amp; 706411020513</f>
        <v>706411020513</v>
      </c>
      <c r="C399" t="s">
        <v>786</v>
      </c>
      <c r="D399" t="s">
        <v>4379</v>
      </c>
      <c r="F399" t="s">
        <v>135</v>
      </c>
      <c r="G399">
        <v>1</v>
      </c>
      <c r="H399">
        <v>1</v>
      </c>
      <c r="I399" t="s">
        <v>97</v>
      </c>
      <c r="J399" s="32">
        <v>12.75</v>
      </c>
      <c r="K399" s="32">
        <v>38.25</v>
      </c>
      <c r="L399">
        <v>0</v>
      </c>
      <c r="N399">
        <v>0</v>
      </c>
      <c r="S399">
        <v>24</v>
      </c>
      <c r="U399">
        <v>0.75</v>
      </c>
      <c r="V399">
        <v>0.2</v>
      </c>
      <c r="W399">
        <v>1.5</v>
      </c>
      <c r="X399">
        <v>1</v>
      </c>
      <c r="Y399">
        <v>2.63</v>
      </c>
      <c r="Z399">
        <v>24.5</v>
      </c>
      <c r="AA399">
        <v>5.5</v>
      </c>
      <c r="AB399">
        <v>0.21</v>
      </c>
      <c r="AC399">
        <v>1.514</v>
      </c>
      <c r="AK399" t="s">
        <v>98</v>
      </c>
      <c r="AM399" t="s">
        <v>98</v>
      </c>
      <c r="AN399" t="s">
        <v>98</v>
      </c>
      <c r="AO399" t="s">
        <v>98</v>
      </c>
      <c r="AP399" t="s">
        <v>99</v>
      </c>
      <c r="AQ399" t="s">
        <v>102</v>
      </c>
      <c r="AV399" t="s">
        <v>98</v>
      </c>
      <c r="AX399" t="s">
        <v>317</v>
      </c>
      <c r="BF399" t="s">
        <v>1349</v>
      </c>
      <c r="BG399" t="s">
        <v>98</v>
      </c>
      <c r="BH399" t="s">
        <v>98</v>
      </c>
      <c r="BI399" t="s">
        <v>98</v>
      </c>
      <c r="BK399" t="s">
        <v>138</v>
      </c>
      <c r="CA399" t="s">
        <v>1347</v>
      </c>
      <c r="CB399" t="s">
        <v>317</v>
      </c>
      <c r="CL399" t="s">
        <v>98</v>
      </c>
      <c r="CM399" t="s">
        <v>98</v>
      </c>
      <c r="CO399" s="1">
        <v>39728</v>
      </c>
      <c r="CP399" s="1">
        <v>43595</v>
      </c>
    </row>
    <row r="400" spans="1:94" x14ac:dyDescent="0.25">
      <c r="A400" s="4" t="s">
        <v>1350</v>
      </c>
      <c r="B400" t="str">
        <f xml:space="preserve"> "" &amp; 706411035302</f>
        <v>706411035302</v>
      </c>
      <c r="C400" t="s">
        <v>786</v>
      </c>
      <c r="D400" t="s">
        <v>1351</v>
      </c>
      <c r="F400" t="s">
        <v>135</v>
      </c>
      <c r="G400">
        <v>1</v>
      </c>
      <c r="H400">
        <v>1</v>
      </c>
      <c r="I400" t="s">
        <v>97</v>
      </c>
      <c r="J400" s="32">
        <v>12.75</v>
      </c>
      <c r="K400" s="32">
        <v>38.25</v>
      </c>
      <c r="L400">
        <v>0</v>
      </c>
      <c r="N400">
        <v>0</v>
      </c>
      <c r="S400">
        <v>24</v>
      </c>
      <c r="U400">
        <v>0.75</v>
      </c>
      <c r="V400">
        <v>0.2</v>
      </c>
      <c r="W400">
        <v>1.5</v>
      </c>
      <c r="X400">
        <v>1</v>
      </c>
      <c r="Y400">
        <v>2.63</v>
      </c>
      <c r="Z400">
        <v>24.5</v>
      </c>
      <c r="AA400">
        <v>5.5</v>
      </c>
      <c r="AB400">
        <v>0.21</v>
      </c>
      <c r="AC400">
        <v>1.514</v>
      </c>
      <c r="AK400" t="s">
        <v>98</v>
      </c>
      <c r="AM400" t="s">
        <v>98</v>
      </c>
      <c r="AN400" t="s">
        <v>98</v>
      </c>
      <c r="AO400" t="s">
        <v>98</v>
      </c>
      <c r="AP400" t="s">
        <v>99</v>
      </c>
      <c r="AQ400" t="s">
        <v>102</v>
      </c>
      <c r="AV400" t="s">
        <v>98</v>
      </c>
      <c r="AX400" t="s">
        <v>1040</v>
      </c>
      <c r="BF400" t="s">
        <v>1352</v>
      </c>
      <c r="BG400" t="s">
        <v>98</v>
      </c>
      <c r="BH400" t="s">
        <v>98</v>
      </c>
      <c r="BI400" t="s">
        <v>98</v>
      </c>
      <c r="BK400" t="s">
        <v>138</v>
      </c>
      <c r="CA400" t="s">
        <v>1347</v>
      </c>
      <c r="CL400" t="s">
        <v>98</v>
      </c>
      <c r="CM400" t="s">
        <v>98</v>
      </c>
      <c r="CO400" s="1">
        <v>39728</v>
      </c>
      <c r="CP400" s="1">
        <v>43595</v>
      </c>
    </row>
    <row r="401" spans="1:94" x14ac:dyDescent="0.25">
      <c r="A401" s="4" t="s">
        <v>1353</v>
      </c>
      <c r="B401" t="str">
        <f xml:space="preserve"> "" &amp; 706411025433</f>
        <v>706411025433</v>
      </c>
      <c r="C401" t="s">
        <v>786</v>
      </c>
      <c r="D401" t="s">
        <v>1354</v>
      </c>
      <c r="F401" t="s">
        <v>135</v>
      </c>
      <c r="G401">
        <v>1</v>
      </c>
      <c r="H401">
        <v>1</v>
      </c>
      <c r="I401" t="s">
        <v>97</v>
      </c>
      <c r="J401" s="32">
        <v>12.75</v>
      </c>
      <c r="K401" s="32">
        <v>38.25</v>
      </c>
      <c r="L401">
        <v>0</v>
      </c>
      <c r="N401">
        <v>0</v>
      </c>
      <c r="S401">
        <v>24</v>
      </c>
      <c r="U401">
        <v>0.75</v>
      </c>
      <c r="V401">
        <v>0.2</v>
      </c>
      <c r="W401">
        <v>1.5</v>
      </c>
      <c r="X401">
        <v>1</v>
      </c>
      <c r="Y401">
        <v>2.63</v>
      </c>
      <c r="Z401">
        <v>24.5</v>
      </c>
      <c r="AA401">
        <v>5.5</v>
      </c>
      <c r="AB401">
        <v>0.21</v>
      </c>
      <c r="AC401">
        <v>1.514</v>
      </c>
      <c r="AK401" t="s">
        <v>98</v>
      </c>
      <c r="AM401" t="s">
        <v>98</v>
      </c>
      <c r="AN401" t="s">
        <v>98</v>
      </c>
      <c r="AO401" t="s">
        <v>98</v>
      </c>
      <c r="AP401" t="s">
        <v>99</v>
      </c>
      <c r="AQ401" t="s">
        <v>102</v>
      </c>
      <c r="AV401" t="s">
        <v>98</v>
      </c>
      <c r="AX401" t="s">
        <v>146</v>
      </c>
      <c r="BF401" t="s">
        <v>1355</v>
      </c>
      <c r="BG401" t="s">
        <v>98</v>
      </c>
      <c r="BH401" t="s">
        <v>98</v>
      </c>
      <c r="BI401" t="s">
        <v>98</v>
      </c>
      <c r="BK401" t="s">
        <v>138</v>
      </c>
      <c r="CA401" t="s">
        <v>1347</v>
      </c>
      <c r="CB401" t="s">
        <v>146</v>
      </c>
      <c r="CL401" t="s">
        <v>98</v>
      </c>
      <c r="CM401" t="s">
        <v>98</v>
      </c>
      <c r="CO401" s="1">
        <v>39728</v>
      </c>
      <c r="CP401" s="1">
        <v>43595</v>
      </c>
    </row>
    <row r="402" spans="1:94" x14ac:dyDescent="0.25">
      <c r="A402" s="4" t="s">
        <v>1356</v>
      </c>
      <c r="B402" t="str">
        <f xml:space="preserve"> "" &amp; 706411003172</f>
        <v>706411003172</v>
      </c>
      <c r="C402" t="s">
        <v>786</v>
      </c>
      <c r="D402" t="s">
        <v>1357</v>
      </c>
      <c r="F402" t="s">
        <v>135</v>
      </c>
      <c r="G402">
        <v>1</v>
      </c>
      <c r="H402">
        <v>1</v>
      </c>
      <c r="I402" t="s">
        <v>97</v>
      </c>
      <c r="J402" s="32">
        <v>12.75</v>
      </c>
      <c r="K402" s="32">
        <v>38.25</v>
      </c>
      <c r="L402">
        <v>0</v>
      </c>
      <c r="N402">
        <v>0</v>
      </c>
      <c r="S402">
        <v>24</v>
      </c>
      <c r="U402">
        <v>0.75</v>
      </c>
      <c r="V402">
        <v>0.2</v>
      </c>
      <c r="W402">
        <v>1.5</v>
      </c>
      <c r="X402">
        <v>1</v>
      </c>
      <c r="Y402">
        <v>2.63</v>
      </c>
      <c r="Z402">
        <v>24.5</v>
      </c>
      <c r="AA402">
        <v>5.5</v>
      </c>
      <c r="AB402">
        <v>0.21</v>
      </c>
      <c r="AC402">
        <v>1.514</v>
      </c>
      <c r="AK402" t="s">
        <v>98</v>
      </c>
      <c r="AM402" t="s">
        <v>98</v>
      </c>
      <c r="AN402" t="s">
        <v>98</v>
      </c>
      <c r="AO402" t="s">
        <v>98</v>
      </c>
      <c r="AP402" t="s">
        <v>99</v>
      </c>
      <c r="AQ402" t="s">
        <v>102</v>
      </c>
      <c r="AV402" t="s">
        <v>98</v>
      </c>
      <c r="AX402" t="s">
        <v>150</v>
      </c>
      <c r="BF402" t="s">
        <v>1358</v>
      </c>
      <c r="BG402" t="s">
        <v>98</v>
      </c>
      <c r="BH402" t="s">
        <v>98</v>
      </c>
      <c r="BI402" t="s">
        <v>98</v>
      </c>
      <c r="BK402" t="s">
        <v>138</v>
      </c>
      <c r="CA402" t="s">
        <v>1347</v>
      </c>
      <c r="CB402" t="s">
        <v>150</v>
      </c>
      <c r="CL402" t="s">
        <v>98</v>
      </c>
      <c r="CM402" t="s">
        <v>98</v>
      </c>
      <c r="CO402" s="1">
        <v>39728</v>
      </c>
      <c r="CP402" s="1">
        <v>43595</v>
      </c>
    </row>
    <row r="403" spans="1:94" x14ac:dyDescent="0.25">
      <c r="A403" s="4" t="s">
        <v>1359</v>
      </c>
      <c r="B403" t="str">
        <f xml:space="preserve"> "" &amp; 706411056796</f>
        <v>706411056796</v>
      </c>
      <c r="C403" t="s">
        <v>786</v>
      </c>
      <c r="D403" t="s">
        <v>1360</v>
      </c>
      <c r="F403" t="s">
        <v>135</v>
      </c>
      <c r="G403">
        <v>1</v>
      </c>
      <c r="H403">
        <v>1</v>
      </c>
      <c r="I403" t="s">
        <v>97</v>
      </c>
      <c r="J403" s="32">
        <v>12.75</v>
      </c>
      <c r="K403" s="32">
        <v>38.25</v>
      </c>
      <c r="L403">
        <v>0</v>
      </c>
      <c r="N403">
        <v>0</v>
      </c>
      <c r="S403">
        <v>24</v>
      </c>
      <c r="U403">
        <v>0.75</v>
      </c>
      <c r="V403">
        <v>0.2</v>
      </c>
      <c r="W403">
        <v>1.5</v>
      </c>
      <c r="X403">
        <v>1</v>
      </c>
      <c r="Y403">
        <v>2.63</v>
      </c>
      <c r="Z403">
        <v>24.5</v>
      </c>
      <c r="AA403">
        <v>5.5</v>
      </c>
      <c r="AB403">
        <v>0.21</v>
      </c>
      <c r="AC403">
        <v>1.514</v>
      </c>
      <c r="AK403" t="s">
        <v>98</v>
      </c>
      <c r="AM403" t="s">
        <v>98</v>
      </c>
      <c r="AN403" t="s">
        <v>98</v>
      </c>
      <c r="AO403" t="s">
        <v>98</v>
      </c>
      <c r="AP403" t="s">
        <v>99</v>
      </c>
      <c r="AQ403" t="s">
        <v>102</v>
      </c>
      <c r="AV403" t="s">
        <v>98</v>
      </c>
      <c r="AX403" t="s">
        <v>154</v>
      </c>
      <c r="BF403" t="s">
        <v>1361</v>
      </c>
      <c r="BG403" t="s">
        <v>98</v>
      </c>
      <c r="BH403" t="s">
        <v>98</v>
      </c>
      <c r="BI403" t="s">
        <v>98</v>
      </c>
      <c r="BK403" t="s">
        <v>138</v>
      </c>
      <c r="CB403" t="s">
        <v>154</v>
      </c>
      <c r="CL403" t="s">
        <v>98</v>
      </c>
      <c r="CM403" t="s">
        <v>98</v>
      </c>
      <c r="CN403" t="s">
        <v>349</v>
      </c>
      <c r="CO403" s="1">
        <v>43147</v>
      </c>
      <c r="CP403" s="1">
        <v>43595</v>
      </c>
    </row>
    <row r="404" spans="1:94" x14ac:dyDescent="0.25">
      <c r="A404" s="4" t="s">
        <v>1362</v>
      </c>
      <c r="B404" t="str">
        <f xml:space="preserve"> "" &amp; 706411027444</f>
        <v>706411027444</v>
      </c>
      <c r="C404" t="s">
        <v>786</v>
      </c>
      <c r="D404" t="s">
        <v>1363</v>
      </c>
      <c r="F404" t="s">
        <v>135</v>
      </c>
      <c r="G404">
        <v>1</v>
      </c>
      <c r="H404">
        <v>1</v>
      </c>
      <c r="I404" t="s">
        <v>97</v>
      </c>
      <c r="J404" s="32">
        <v>12.75</v>
      </c>
      <c r="K404" s="32">
        <v>38.25</v>
      </c>
      <c r="L404">
        <v>0</v>
      </c>
      <c r="N404">
        <v>0</v>
      </c>
      <c r="S404">
        <v>24</v>
      </c>
      <c r="U404">
        <v>0.75</v>
      </c>
      <c r="V404">
        <v>0.2</v>
      </c>
      <c r="W404">
        <v>1.5</v>
      </c>
      <c r="X404">
        <v>1</v>
      </c>
      <c r="Y404">
        <v>2.63</v>
      </c>
      <c r="Z404">
        <v>24.5</v>
      </c>
      <c r="AA404">
        <v>5.5</v>
      </c>
      <c r="AB404">
        <v>0.21</v>
      </c>
      <c r="AC404">
        <v>1.514</v>
      </c>
      <c r="AK404" t="s">
        <v>98</v>
      </c>
      <c r="AM404" t="s">
        <v>98</v>
      </c>
      <c r="AN404" t="s">
        <v>98</v>
      </c>
      <c r="AO404" t="s">
        <v>98</v>
      </c>
      <c r="AP404" t="s">
        <v>99</v>
      </c>
      <c r="AQ404" t="s">
        <v>102</v>
      </c>
      <c r="AV404" t="s">
        <v>98</v>
      </c>
      <c r="AX404" t="s">
        <v>159</v>
      </c>
      <c r="BF404" t="s">
        <v>1364</v>
      </c>
      <c r="BG404" t="s">
        <v>98</v>
      </c>
      <c r="BH404" t="s">
        <v>98</v>
      </c>
      <c r="BI404" t="s">
        <v>98</v>
      </c>
      <c r="BK404" t="s">
        <v>138</v>
      </c>
      <c r="CA404" t="s">
        <v>1347</v>
      </c>
      <c r="CB404" t="s">
        <v>159</v>
      </c>
      <c r="CL404" t="s">
        <v>98</v>
      </c>
      <c r="CM404" t="s">
        <v>98</v>
      </c>
      <c r="CO404" s="1">
        <v>39728</v>
      </c>
      <c r="CP404" s="1">
        <v>43595</v>
      </c>
    </row>
    <row r="405" spans="1:94" x14ac:dyDescent="0.25">
      <c r="A405" s="4" t="s">
        <v>1365</v>
      </c>
      <c r="B405" t="str">
        <f xml:space="preserve"> "" &amp; 706411025501</f>
        <v>706411025501</v>
      </c>
      <c r="C405" t="s">
        <v>786</v>
      </c>
      <c r="D405" t="s">
        <v>1366</v>
      </c>
      <c r="F405" t="s">
        <v>135</v>
      </c>
      <c r="G405">
        <v>1</v>
      </c>
      <c r="H405">
        <v>1</v>
      </c>
      <c r="I405" t="s">
        <v>97</v>
      </c>
      <c r="J405" s="32">
        <v>12.75</v>
      </c>
      <c r="K405" s="32">
        <v>38.25</v>
      </c>
      <c r="L405">
        <v>0</v>
      </c>
      <c r="N405">
        <v>0</v>
      </c>
      <c r="S405">
        <v>24</v>
      </c>
      <c r="U405">
        <v>0.75</v>
      </c>
      <c r="V405">
        <v>0.2</v>
      </c>
      <c r="W405">
        <v>1.5</v>
      </c>
      <c r="X405">
        <v>1</v>
      </c>
      <c r="Y405">
        <v>2.63</v>
      </c>
      <c r="Z405">
        <v>24.5</v>
      </c>
      <c r="AA405">
        <v>5.5</v>
      </c>
      <c r="AB405">
        <v>0.21</v>
      </c>
      <c r="AC405">
        <v>1.514</v>
      </c>
      <c r="AK405" t="s">
        <v>98</v>
      </c>
      <c r="AM405" t="s">
        <v>98</v>
      </c>
      <c r="AN405" t="s">
        <v>98</v>
      </c>
      <c r="AO405" t="s">
        <v>98</v>
      </c>
      <c r="AP405" t="s">
        <v>99</v>
      </c>
      <c r="AQ405" t="s">
        <v>102</v>
      </c>
      <c r="AV405" t="s">
        <v>98</v>
      </c>
      <c r="AX405" t="s">
        <v>163</v>
      </c>
      <c r="BF405" t="s">
        <v>1367</v>
      </c>
      <c r="BG405" t="s">
        <v>98</v>
      </c>
      <c r="BH405" t="s">
        <v>98</v>
      </c>
      <c r="BI405" t="s">
        <v>98</v>
      </c>
      <c r="BK405" t="s">
        <v>138</v>
      </c>
      <c r="CA405" t="s">
        <v>1347</v>
      </c>
      <c r="CB405" t="s">
        <v>163</v>
      </c>
      <c r="CL405" t="s">
        <v>98</v>
      </c>
      <c r="CM405" t="s">
        <v>98</v>
      </c>
      <c r="CO405" s="1">
        <v>39728</v>
      </c>
      <c r="CP405" s="1">
        <v>43595</v>
      </c>
    </row>
    <row r="406" spans="1:94" x14ac:dyDescent="0.25">
      <c r="A406" s="4" t="s">
        <v>1368</v>
      </c>
      <c r="B406" t="str">
        <f xml:space="preserve"> "" &amp; 706411044571</f>
        <v>706411044571</v>
      </c>
      <c r="C406" t="s">
        <v>786</v>
      </c>
      <c r="D406" t="s">
        <v>1369</v>
      </c>
      <c r="F406" t="s">
        <v>135</v>
      </c>
      <c r="G406">
        <v>1</v>
      </c>
      <c r="H406">
        <v>1</v>
      </c>
      <c r="I406" t="s">
        <v>97</v>
      </c>
      <c r="J406" s="32">
        <v>12.75</v>
      </c>
      <c r="K406" s="32">
        <v>38.25</v>
      </c>
      <c r="L406">
        <v>0</v>
      </c>
      <c r="N406">
        <v>0</v>
      </c>
      <c r="S406">
        <v>24</v>
      </c>
      <c r="U406">
        <v>0.75</v>
      </c>
      <c r="V406">
        <v>0.2</v>
      </c>
      <c r="W406">
        <v>1.5</v>
      </c>
      <c r="X406">
        <v>1</v>
      </c>
      <c r="Y406">
        <v>2.63</v>
      </c>
      <c r="Z406">
        <v>24.5</v>
      </c>
      <c r="AA406">
        <v>5.5</v>
      </c>
      <c r="AB406">
        <v>0.21</v>
      </c>
      <c r="AC406">
        <v>1.514</v>
      </c>
      <c r="AK406" t="s">
        <v>98</v>
      </c>
      <c r="AM406" t="s">
        <v>98</v>
      </c>
      <c r="AN406" t="s">
        <v>98</v>
      </c>
      <c r="AO406" t="s">
        <v>98</v>
      </c>
      <c r="AP406" t="s">
        <v>99</v>
      </c>
      <c r="AQ406" t="s">
        <v>102</v>
      </c>
      <c r="AV406" t="s">
        <v>98</v>
      </c>
      <c r="AX406" t="s">
        <v>167</v>
      </c>
      <c r="BF406" t="s">
        <v>1370</v>
      </c>
      <c r="BG406" t="s">
        <v>98</v>
      </c>
      <c r="BH406" t="s">
        <v>98</v>
      </c>
      <c r="BI406" t="s">
        <v>98</v>
      </c>
      <c r="BJ406" t="s">
        <v>291</v>
      </c>
      <c r="BK406" t="s">
        <v>292</v>
      </c>
      <c r="CA406" t="s">
        <v>1347</v>
      </c>
      <c r="CB406" t="s">
        <v>167</v>
      </c>
      <c r="CL406" t="s">
        <v>98</v>
      </c>
      <c r="CM406" t="s">
        <v>98</v>
      </c>
      <c r="CN406" t="s">
        <v>349</v>
      </c>
      <c r="CP406" s="1">
        <v>43595</v>
      </c>
    </row>
    <row r="407" spans="1:94" x14ac:dyDescent="0.25">
      <c r="A407" s="4" t="s">
        <v>1371</v>
      </c>
      <c r="B407" t="str">
        <f xml:space="preserve"> "" &amp; 706411043161</f>
        <v>706411043161</v>
      </c>
      <c r="C407" t="s">
        <v>786</v>
      </c>
      <c r="D407" t="s">
        <v>1372</v>
      </c>
      <c r="F407" t="s">
        <v>135</v>
      </c>
      <c r="G407">
        <v>1</v>
      </c>
      <c r="H407">
        <v>1</v>
      </c>
      <c r="I407" t="s">
        <v>97</v>
      </c>
      <c r="J407" s="32">
        <v>12.75</v>
      </c>
      <c r="K407" s="32">
        <v>38.25</v>
      </c>
      <c r="L407">
        <v>0</v>
      </c>
      <c r="N407">
        <v>0</v>
      </c>
      <c r="S407">
        <v>24</v>
      </c>
      <c r="U407">
        <v>0.75</v>
      </c>
      <c r="V407">
        <v>0.2</v>
      </c>
      <c r="W407">
        <v>1.5</v>
      </c>
      <c r="X407">
        <v>1</v>
      </c>
      <c r="Y407">
        <v>2.63</v>
      </c>
      <c r="Z407">
        <v>24.5</v>
      </c>
      <c r="AA407">
        <v>5.5</v>
      </c>
      <c r="AB407">
        <v>0.21</v>
      </c>
      <c r="AC407">
        <v>1.514</v>
      </c>
      <c r="AK407" t="s">
        <v>98</v>
      </c>
      <c r="AM407" t="s">
        <v>98</v>
      </c>
      <c r="AN407" t="s">
        <v>98</v>
      </c>
      <c r="AO407" t="s">
        <v>98</v>
      </c>
      <c r="AP407" t="s">
        <v>99</v>
      </c>
      <c r="AQ407" t="s">
        <v>102</v>
      </c>
      <c r="AV407" t="s">
        <v>98</v>
      </c>
      <c r="AX407" t="s">
        <v>171</v>
      </c>
      <c r="BF407" t="s">
        <v>1373</v>
      </c>
      <c r="BG407" t="s">
        <v>98</v>
      </c>
      <c r="BH407" t="s">
        <v>98</v>
      </c>
      <c r="BI407" t="s">
        <v>98</v>
      </c>
      <c r="CB407" t="s">
        <v>171</v>
      </c>
      <c r="CL407" t="s">
        <v>98</v>
      </c>
      <c r="CM407" t="s">
        <v>98</v>
      </c>
      <c r="CP407" s="1">
        <v>43595</v>
      </c>
    </row>
    <row r="408" spans="1:94" x14ac:dyDescent="0.25">
      <c r="A408" s="4" t="s">
        <v>1374</v>
      </c>
      <c r="B408" t="str">
        <f xml:space="preserve"> "" &amp; 706411035395</f>
        <v>706411035395</v>
      </c>
      <c r="C408" t="s">
        <v>786</v>
      </c>
      <c r="D408" t="s">
        <v>1375</v>
      </c>
      <c r="F408" t="s">
        <v>135</v>
      </c>
      <c r="G408">
        <v>1</v>
      </c>
      <c r="H408">
        <v>1</v>
      </c>
      <c r="I408" t="s">
        <v>97</v>
      </c>
      <c r="J408" s="32">
        <v>12.75</v>
      </c>
      <c r="K408" s="32">
        <v>38.25</v>
      </c>
      <c r="L408">
        <v>0</v>
      </c>
      <c r="N408">
        <v>0</v>
      </c>
      <c r="S408">
        <v>24</v>
      </c>
      <c r="U408">
        <v>0.75</v>
      </c>
      <c r="V408">
        <v>0.2</v>
      </c>
      <c r="W408">
        <v>1.5</v>
      </c>
      <c r="X408">
        <v>1</v>
      </c>
      <c r="Y408">
        <v>2.63</v>
      </c>
      <c r="Z408">
        <v>24.5</v>
      </c>
      <c r="AA408">
        <v>5.5</v>
      </c>
      <c r="AB408">
        <v>0.21</v>
      </c>
      <c r="AC408">
        <v>1.514</v>
      </c>
      <c r="AK408" t="s">
        <v>98</v>
      </c>
      <c r="AM408" t="s">
        <v>98</v>
      </c>
      <c r="AN408" t="s">
        <v>98</v>
      </c>
      <c r="AO408" t="s">
        <v>98</v>
      </c>
      <c r="AP408" t="s">
        <v>99</v>
      </c>
      <c r="AQ408" t="s">
        <v>102</v>
      </c>
      <c r="AV408" t="s">
        <v>98</v>
      </c>
      <c r="AX408" t="s">
        <v>175</v>
      </c>
      <c r="BF408" t="s">
        <v>1376</v>
      </c>
      <c r="BG408" t="s">
        <v>98</v>
      </c>
      <c r="BH408" t="s">
        <v>98</v>
      </c>
      <c r="BI408" t="s">
        <v>98</v>
      </c>
      <c r="BK408" t="s">
        <v>138</v>
      </c>
      <c r="CA408" t="s">
        <v>1347</v>
      </c>
      <c r="CB408" t="s">
        <v>175</v>
      </c>
      <c r="CL408" t="s">
        <v>98</v>
      </c>
      <c r="CM408" t="s">
        <v>98</v>
      </c>
      <c r="CO408" s="1">
        <v>39728</v>
      </c>
      <c r="CP408" s="1">
        <v>43595</v>
      </c>
    </row>
    <row r="409" spans="1:94" x14ac:dyDescent="0.25">
      <c r="A409" s="4" t="s">
        <v>1377</v>
      </c>
      <c r="B409" t="str">
        <f xml:space="preserve"> "" &amp; 706411061110</f>
        <v>706411061110</v>
      </c>
      <c r="C409" t="s">
        <v>786</v>
      </c>
      <c r="D409" t="s">
        <v>1378</v>
      </c>
      <c r="F409" t="s">
        <v>135</v>
      </c>
      <c r="G409">
        <v>1</v>
      </c>
      <c r="H409">
        <v>1</v>
      </c>
      <c r="I409" t="s">
        <v>97</v>
      </c>
      <c r="J409" s="32">
        <v>12.75</v>
      </c>
      <c r="K409" s="32">
        <v>38.25</v>
      </c>
      <c r="L409">
        <v>0</v>
      </c>
      <c r="N409">
        <v>0</v>
      </c>
      <c r="S409">
        <v>24</v>
      </c>
      <c r="U409">
        <v>0.75</v>
      </c>
      <c r="V409">
        <v>0.2</v>
      </c>
      <c r="W409">
        <v>1.5</v>
      </c>
      <c r="X409">
        <v>1</v>
      </c>
      <c r="Y409">
        <v>2.63</v>
      </c>
      <c r="Z409">
        <v>24.5</v>
      </c>
      <c r="AA409">
        <v>5.5</v>
      </c>
      <c r="AB409">
        <v>0.21</v>
      </c>
      <c r="AC409">
        <v>1.514</v>
      </c>
      <c r="AK409" t="s">
        <v>98</v>
      </c>
      <c r="AM409" t="s">
        <v>98</v>
      </c>
      <c r="AN409" t="s">
        <v>98</v>
      </c>
      <c r="AO409" t="s">
        <v>98</v>
      </c>
      <c r="AP409" t="s">
        <v>99</v>
      </c>
      <c r="AQ409" t="s">
        <v>102</v>
      </c>
      <c r="AV409" t="s">
        <v>98</v>
      </c>
      <c r="AX409" t="s">
        <v>179</v>
      </c>
      <c r="BF409" t="s">
        <v>1379</v>
      </c>
      <c r="BG409" t="s">
        <v>98</v>
      </c>
      <c r="BH409" t="s">
        <v>98</v>
      </c>
      <c r="BI409" t="s">
        <v>98</v>
      </c>
      <c r="BK409" t="s">
        <v>138</v>
      </c>
      <c r="CA409" t="s">
        <v>1347</v>
      </c>
      <c r="CB409" t="s">
        <v>179</v>
      </c>
      <c r="CL409" t="s">
        <v>98</v>
      </c>
      <c r="CM409" t="s">
        <v>98</v>
      </c>
      <c r="CN409" t="s">
        <v>349</v>
      </c>
      <c r="CO409" s="1">
        <v>43536</v>
      </c>
      <c r="CP409" s="1">
        <v>43595</v>
      </c>
    </row>
    <row r="410" spans="1:94" x14ac:dyDescent="0.25">
      <c r="A410" s="4" t="s">
        <v>1380</v>
      </c>
      <c r="B410" t="str">
        <f xml:space="preserve"> "" &amp; 706411035333</f>
        <v>706411035333</v>
      </c>
      <c r="C410" t="s">
        <v>786</v>
      </c>
      <c r="D410" t="s">
        <v>1381</v>
      </c>
      <c r="F410" t="s">
        <v>135</v>
      </c>
      <c r="G410">
        <v>1</v>
      </c>
      <c r="H410">
        <v>1</v>
      </c>
      <c r="I410" t="s">
        <v>97</v>
      </c>
      <c r="J410" s="32">
        <v>12.75</v>
      </c>
      <c r="K410" s="32">
        <v>38.25</v>
      </c>
      <c r="L410">
        <v>0</v>
      </c>
      <c r="N410">
        <v>0</v>
      </c>
      <c r="S410">
        <v>24</v>
      </c>
      <c r="U410">
        <v>0.75</v>
      </c>
      <c r="V410">
        <v>0.2</v>
      </c>
      <c r="W410">
        <v>1.5</v>
      </c>
      <c r="X410">
        <v>1</v>
      </c>
      <c r="Y410">
        <v>2.63</v>
      </c>
      <c r="Z410">
        <v>24.5</v>
      </c>
      <c r="AA410">
        <v>5.5</v>
      </c>
      <c r="AB410">
        <v>0.21</v>
      </c>
      <c r="AC410">
        <v>1.514</v>
      </c>
      <c r="AK410" t="s">
        <v>98</v>
      </c>
      <c r="AM410" t="s">
        <v>98</v>
      </c>
      <c r="AN410" t="s">
        <v>98</v>
      </c>
      <c r="AO410" t="s">
        <v>98</v>
      </c>
      <c r="AP410" t="s">
        <v>99</v>
      </c>
      <c r="AQ410" t="s">
        <v>102</v>
      </c>
      <c r="AV410" t="s">
        <v>98</v>
      </c>
      <c r="AX410" t="s">
        <v>183</v>
      </c>
      <c r="BF410" t="s">
        <v>1382</v>
      </c>
      <c r="BG410" t="s">
        <v>98</v>
      </c>
      <c r="BH410" t="s">
        <v>98</v>
      </c>
      <c r="BI410" t="s">
        <v>98</v>
      </c>
      <c r="BK410" t="s">
        <v>138</v>
      </c>
      <c r="CA410" t="s">
        <v>1347</v>
      </c>
      <c r="CB410" t="s">
        <v>183</v>
      </c>
      <c r="CL410" t="s">
        <v>98</v>
      </c>
      <c r="CM410" t="s">
        <v>98</v>
      </c>
      <c r="CO410" s="1">
        <v>39728</v>
      </c>
      <c r="CP410" s="1">
        <v>43595</v>
      </c>
    </row>
    <row r="411" spans="1:94" x14ac:dyDescent="0.25">
      <c r="A411" s="4" t="s">
        <v>1383</v>
      </c>
      <c r="B411" t="str">
        <f xml:space="preserve"> "" &amp; 706411031267</f>
        <v>706411031267</v>
      </c>
      <c r="C411" t="s">
        <v>786</v>
      </c>
      <c r="D411" t="s">
        <v>4381</v>
      </c>
      <c r="F411" t="s">
        <v>135</v>
      </c>
      <c r="G411">
        <v>1</v>
      </c>
      <c r="H411">
        <v>1</v>
      </c>
      <c r="I411" t="s">
        <v>97</v>
      </c>
      <c r="J411" s="32">
        <v>12.75</v>
      </c>
      <c r="K411" s="32">
        <v>38.25</v>
      </c>
      <c r="L411">
        <v>0</v>
      </c>
      <c r="N411">
        <v>0</v>
      </c>
      <c r="S411">
        <v>24</v>
      </c>
      <c r="U411">
        <v>0.75</v>
      </c>
      <c r="V411">
        <v>0.2</v>
      </c>
      <c r="W411">
        <v>1.5</v>
      </c>
      <c r="X411">
        <v>1</v>
      </c>
      <c r="Y411">
        <v>2.63</v>
      </c>
      <c r="Z411">
        <v>24.5</v>
      </c>
      <c r="AA411">
        <v>5.5</v>
      </c>
      <c r="AB411">
        <v>0.21</v>
      </c>
      <c r="AC411">
        <v>1.514</v>
      </c>
      <c r="AK411" t="s">
        <v>98</v>
      </c>
      <c r="AM411" t="s">
        <v>98</v>
      </c>
      <c r="AN411" t="s">
        <v>98</v>
      </c>
      <c r="AO411" t="s">
        <v>98</v>
      </c>
      <c r="AP411" t="s">
        <v>99</v>
      </c>
      <c r="AQ411" t="s">
        <v>102</v>
      </c>
      <c r="AV411" t="s">
        <v>98</v>
      </c>
      <c r="AX411" t="s">
        <v>186</v>
      </c>
      <c r="BF411" t="s">
        <v>1384</v>
      </c>
      <c r="BG411" t="s">
        <v>98</v>
      </c>
      <c r="BH411" t="s">
        <v>98</v>
      </c>
      <c r="BI411" t="s">
        <v>98</v>
      </c>
      <c r="BK411" t="s">
        <v>138</v>
      </c>
      <c r="CA411" t="s">
        <v>1347</v>
      </c>
      <c r="CB411" t="s">
        <v>186</v>
      </c>
      <c r="CL411" t="s">
        <v>98</v>
      </c>
      <c r="CM411" t="s">
        <v>98</v>
      </c>
      <c r="CO411" s="1">
        <v>39728</v>
      </c>
      <c r="CP411" s="1">
        <v>43595</v>
      </c>
    </row>
    <row r="412" spans="1:94" x14ac:dyDescent="0.25">
      <c r="A412" s="4" t="s">
        <v>1385</v>
      </c>
      <c r="B412" t="str">
        <f xml:space="preserve"> "" &amp; 706411038983</f>
        <v>706411038983</v>
      </c>
      <c r="C412" t="s">
        <v>786</v>
      </c>
      <c r="D412" t="s">
        <v>1386</v>
      </c>
      <c r="F412" t="s">
        <v>135</v>
      </c>
      <c r="G412">
        <v>1</v>
      </c>
      <c r="H412">
        <v>1</v>
      </c>
      <c r="I412" t="s">
        <v>97</v>
      </c>
      <c r="J412" s="32">
        <v>12.75</v>
      </c>
      <c r="K412" s="32">
        <v>38.25</v>
      </c>
      <c r="L412">
        <v>0</v>
      </c>
      <c r="N412">
        <v>0</v>
      </c>
      <c r="S412">
        <v>24</v>
      </c>
      <c r="U412">
        <v>0.75</v>
      </c>
      <c r="V412">
        <v>0.2</v>
      </c>
      <c r="W412">
        <v>1.5</v>
      </c>
      <c r="X412">
        <v>1</v>
      </c>
      <c r="Y412">
        <v>2.63</v>
      </c>
      <c r="Z412">
        <v>24.5</v>
      </c>
      <c r="AA412">
        <v>5.5</v>
      </c>
      <c r="AB412">
        <v>0.21</v>
      </c>
      <c r="AC412">
        <v>0.38700000000000001</v>
      </c>
      <c r="AK412" t="s">
        <v>98</v>
      </c>
      <c r="AM412" t="s">
        <v>98</v>
      </c>
      <c r="AN412" t="s">
        <v>98</v>
      </c>
      <c r="AO412" t="s">
        <v>98</v>
      </c>
      <c r="AP412" t="s">
        <v>99</v>
      </c>
      <c r="AQ412" t="s">
        <v>102</v>
      </c>
      <c r="AV412" t="s">
        <v>98</v>
      </c>
      <c r="AX412" t="s">
        <v>190</v>
      </c>
      <c r="BF412" t="s">
        <v>1387</v>
      </c>
      <c r="BG412" t="s">
        <v>98</v>
      </c>
      <c r="BH412" t="s">
        <v>98</v>
      </c>
      <c r="BI412" t="s">
        <v>98</v>
      </c>
      <c r="BK412" t="s">
        <v>138</v>
      </c>
      <c r="CA412" t="s">
        <v>1347</v>
      </c>
      <c r="CB412" t="s">
        <v>190</v>
      </c>
      <c r="CL412" t="s">
        <v>98</v>
      </c>
      <c r="CM412" t="s">
        <v>98</v>
      </c>
      <c r="CO412" s="1">
        <v>40841</v>
      </c>
      <c r="CP412" s="1">
        <v>43595</v>
      </c>
    </row>
    <row r="413" spans="1:94" x14ac:dyDescent="0.25">
      <c r="A413" s="4" t="s">
        <v>1388</v>
      </c>
      <c r="B413" t="str">
        <f xml:space="preserve"> "" &amp; 706411026690</f>
        <v>706411026690</v>
      </c>
      <c r="C413" t="s">
        <v>786</v>
      </c>
      <c r="D413" t="s">
        <v>4382</v>
      </c>
      <c r="F413" t="s">
        <v>135</v>
      </c>
      <c r="G413">
        <v>1</v>
      </c>
      <c r="H413">
        <v>1</v>
      </c>
      <c r="I413" t="s">
        <v>97</v>
      </c>
      <c r="J413" s="32">
        <v>12.75</v>
      </c>
      <c r="K413" s="32">
        <v>38.25</v>
      </c>
      <c r="L413">
        <v>0</v>
      </c>
      <c r="N413">
        <v>0</v>
      </c>
      <c r="S413">
        <v>24</v>
      </c>
      <c r="U413">
        <v>0.75</v>
      </c>
      <c r="V413">
        <v>0.2</v>
      </c>
      <c r="W413">
        <v>1.5</v>
      </c>
      <c r="X413">
        <v>1</v>
      </c>
      <c r="Y413">
        <v>2.63</v>
      </c>
      <c r="Z413">
        <v>24.5</v>
      </c>
      <c r="AA413">
        <v>5.5</v>
      </c>
      <c r="AB413">
        <v>0.21</v>
      </c>
      <c r="AC413">
        <v>1.514</v>
      </c>
      <c r="AK413" t="s">
        <v>98</v>
      </c>
      <c r="AM413" t="s">
        <v>98</v>
      </c>
      <c r="AN413" t="s">
        <v>98</v>
      </c>
      <c r="AO413" t="s">
        <v>98</v>
      </c>
      <c r="AP413" t="s">
        <v>99</v>
      </c>
      <c r="AQ413" t="s">
        <v>102</v>
      </c>
      <c r="AV413" t="s">
        <v>98</v>
      </c>
      <c r="AX413" t="s">
        <v>193</v>
      </c>
      <c r="BF413" t="s">
        <v>1389</v>
      </c>
      <c r="BG413" t="s">
        <v>98</v>
      </c>
      <c r="BH413" t="s">
        <v>98</v>
      </c>
      <c r="BI413" t="s">
        <v>98</v>
      </c>
      <c r="BK413" t="s">
        <v>138</v>
      </c>
      <c r="CA413" t="s">
        <v>1347</v>
      </c>
      <c r="CB413" t="s">
        <v>193</v>
      </c>
      <c r="CL413" t="s">
        <v>98</v>
      </c>
      <c r="CM413" t="s">
        <v>98</v>
      </c>
      <c r="CO413" s="1">
        <v>39728</v>
      </c>
      <c r="CP413" s="1">
        <v>43595</v>
      </c>
    </row>
    <row r="414" spans="1:94" x14ac:dyDescent="0.25">
      <c r="A414" s="4" t="s">
        <v>1390</v>
      </c>
      <c r="B414" t="str">
        <f xml:space="preserve"> "" &amp; 706411052316</f>
        <v>706411052316</v>
      </c>
      <c r="C414" t="s">
        <v>786</v>
      </c>
      <c r="D414" t="s">
        <v>1391</v>
      </c>
      <c r="F414" t="s">
        <v>135</v>
      </c>
      <c r="G414">
        <v>1</v>
      </c>
      <c r="H414">
        <v>1</v>
      </c>
      <c r="I414" t="s">
        <v>97</v>
      </c>
      <c r="J414" s="32">
        <v>12.75</v>
      </c>
      <c r="K414" s="32">
        <v>38.25</v>
      </c>
      <c r="L414">
        <v>0</v>
      </c>
      <c r="N414">
        <v>0</v>
      </c>
      <c r="S414">
        <v>24</v>
      </c>
      <c r="U414">
        <v>0.75</v>
      </c>
      <c r="V414">
        <v>0.2</v>
      </c>
      <c r="W414">
        <v>1.5</v>
      </c>
      <c r="X414">
        <v>1</v>
      </c>
      <c r="Y414">
        <v>2.63</v>
      </c>
      <c r="Z414">
        <v>24.5</v>
      </c>
      <c r="AA414">
        <v>5.5</v>
      </c>
      <c r="AB414">
        <v>0.21</v>
      </c>
      <c r="AC414">
        <v>1.514</v>
      </c>
      <c r="AK414" t="s">
        <v>98</v>
      </c>
      <c r="AM414" t="s">
        <v>98</v>
      </c>
      <c r="AN414" t="s">
        <v>98</v>
      </c>
      <c r="AO414" t="s">
        <v>98</v>
      </c>
      <c r="AP414" t="s">
        <v>99</v>
      </c>
      <c r="AQ414" t="s">
        <v>102</v>
      </c>
      <c r="AV414" t="s">
        <v>98</v>
      </c>
      <c r="AX414" t="s">
        <v>197</v>
      </c>
      <c r="BF414" t="s">
        <v>1392</v>
      </c>
      <c r="BG414" t="s">
        <v>98</v>
      </c>
      <c r="BH414" t="s">
        <v>98</v>
      </c>
      <c r="BI414" t="s">
        <v>98</v>
      </c>
      <c r="CB414" t="s">
        <v>197</v>
      </c>
      <c r="CL414" t="s">
        <v>98</v>
      </c>
      <c r="CM414" t="s">
        <v>98</v>
      </c>
      <c r="CP414" s="1">
        <v>43595</v>
      </c>
    </row>
    <row r="415" spans="1:94" x14ac:dyDescent="0.25">
      <c r="A415" s="4" t="s">
        <v>1393</v>
      </c>
      <c r="B415" t="str">
        <f xml:space="preserve"> "" &amp; 706411038990</f>
        <v>706411038990</v>
      </c>
      <c r="C415" t="s">
        <v>786</v>
      </c>
      <c r="D415" t="s">
        <v>1394</v>
      </c>
      <c r="F415" t="s">
        <v>135</v>
      </c>
      <c r="G415">
        <v>1</v>
      </c>
      <c r="H415">
        <v>1</v>
      </c>
      <c r="I415" t="s">
        <v>97</v>
      </c>
      <c r="J415" s="32">
        <v>12.75</v>
      </c>
      <c r="K415" s="32">
        <v>38.25</v>
      </c>
      <c r="L415">
        <v>0</v>
      </c>
      <c r="N415">
        <v>0</v>
      </c>
      <c r="S415">
        <v>24</v>
      </c>
      <c r="U415">
        <v>0.75</v>
      </c>
      <c r="V415">
        <v>0.2</v>
      </c>
      <c r="W415">
        <v>1.5</v>
      </c>
      <c r="X415">
        <v>1</v>
      </c>
      <c r="Y415">
        <v>2.63</v>
      </c>
      <c r="Z415">
        <v>24.5</v>
      </c>
      <c r="AA415">
        <v>5.5</v>
      </c>
      <c r="AB415">
        <v>0.21</v>
      </c>
      <c r="AC415">
        <v>1.514</v>
      </c>
      <c r="AK415" t="s">
        <v>98</v>
      </c>
      <c r="AM415" t="s">
        <v>98</v>
      </c>
      <c r="AN415" t="s">
        <v>98</v>
      </c>
      <c r="AO415" t="s">
        <v>98</v>
      </c>
      <c r="AP415" t="s">
        <v>99</v>
      </c>
      <c r="AQ415" t="s">
        <v>102</v>
      </c>
      <c r="AV415" t="s">
        <v>98</v>
      </c>
      <c r="AX415" t="s">
        <v>201</v>
      </c>
      <c r="BF415" t="s">
        <v>1395</v>
      </c>
      <c r="BG415" t="s">
        <v>98</v>
      </c>
      <c r="BH415" t="s">
        <v>98</v>
      </c>
      <c r="BI415" t="s">
        <v>98</v>
      </c>
      <c r="BK415" t="s">
        <v>138</v>
      </c>
      <c r="CA415" t="s">
        <v>1347</v>
      </c>
      <c r="CB415" t="s">
        <v>201</v>
      </c>
      <c r="CL415" t="s">
        <v>98</v>
      </c>
      <c r="CM415" t="s">
        <v>98</v>
      </c>
      <c r="CO415" s="1">
        <v>40841</v>
      </c>
      <c r="CP415" s="1">
        <v>43595</v>
      </c>
    </row>
    <row r="416" spans="1:94" x14ac:dyDescent="0.25">
      <c r="A416" s="4" t="s">
        <v>1396</v>
      </c>
      <c r="B416" t="str">
        <f xml:space="preserve"> "" &amp; 706411057021</f>
        <v>706411057021</v>
      </c>
      <c r="C416" t="s">
        <v>786</v>
      </c>
      <c r="D416" t="s">
        <v>1397</v>
      </c>
      <c r="F416" t="s">
        <v>135</v>
      </c>
      <c r="G416">
        <v>1</v>
      </c>
      <c r="H416">
        <v>1</v>
      </c>
      <c r="I416" t="s">
        <v>97</v>
      </c>
      <c r="J416" s="32">
        <v>12.75</v>
      </c>
      <c r="K416" s="32">
        <v>38.25</v>
      </c>
      <c r="L416">
        <v>0</v>
      </c>
      <c r="N416">
        <v>0</v>
      </c>
      <c r="S416">
        <v>24</v>
      </c>
      <c r="U416">
        <v>0.75</v>
      </c>
      <c r="V416">
        <v>0.2</v>
      </c>
      <c r="W416">
        <v>1.5</v>
      </c>
      <c r="X416">
        <v>1</v>
      </c>
      <c r="Y416">
        <v>2.63</v>
      </c>
      <c r="Z416">
        <v>24.5</v>
      </c>
      <c r="AA416">
        <v>5.5</v>
      </c>
      <c r="AB416">
        <v>0.21</v>
      </c>
      <c r="AC416">
        <v>1.514</v>
      </c>
      <c r="AK416" t="s">
        <v>98</v>
      </c>
      <c r="AM416" t="s">
        <v>98</v>
      </c>
      <c r="AN416" t="s">
        <v>98</v>
      </c>
      <c r="AO416" t="s">
        <v>98</v>
      </c>
      <c r="AP416" t="s">
        <v>99</v>
      </c>
      <c r="AQ416" t="s">
        <v>102</v>
      </c>
      <c r="AV416" t="s">
        <v>98</v>
      </c>
      <c r="AX416" t="s">
        <v>859</v>
      </c>
      <c r="BF416" t="s">
        <v>1398</v>
      </c>
      <c r="BG416" t="s">
        <v>98</v>
      </c>
      <c r="BH416" t="s">
        <v>98</v>
      </c>
      <c r="BI416" t="s">
        <v>98</v>
      </c>
      <c r="BK416" t="s">
        <v>138</v>
      </c>
      <c r="CA416" t="s">
        <v>1347</v>
      </c>
      <c r="CB416" t="s">
        <v>859</v>
      </c>
      <c r="CL416" t="s">
        <v>98</v>
      </c>
      <c r="CM416" t="s">
        <v>98</v>
      </c>
      <c r="CO416" s="1">
        <v>43399</v>
      </c>
      <c r="CP416" s="1">
        <v>43595</v>
      </c>
    </row>
    <row r="417" spans="1:94" x14ac:dyDescent="0.25">
      <c r="A417" s="4" t="s">
        <v>1399</v>
      </c>
      <c r="B417" t="str">
        <f xml:space="preserve"> "" &amp; 706411043178</f>
        <v>706411043178</v>
      </c>
      <c r="C417" t="s">
        <v>786</v>
      </c>
      <c r="D417" t="s">
        <v>1400</v>
      </c>
      <c r="F417" t="s">
        <v>135</v>
      </c>
      <c r="G417">
        <v>1</v>
      </c>
      <c r="H417">
        <v>1</v>
      </c>
      <c r="I417" t="s">
        <v>97</v>
      </c>
      <c r="J417" s="32">
        <v>12.75</v>
      </c>
      <c r="K417" s="32">
        <v>38.25</v>
      </c>
      <c r="L417">
        <v>0</v>
      </c>
      <c r="N417">
        <v>0</v>
      </c>
      <c r="S417">
        <v>24</v>
      </c>
      <c r="U417">
        <v>0.75</v>
      </c>
      <c r="V417">
        <v>0.2</v>
      </c>
      <c r="W417">
        <v>1.5</v>
      </c>
      <c r="X417">
        <v>1</v>
      </c>
      <c r="Y417">
        <v>2.63</v>
      </c>
      <c r="Z417">
        <v>24.5</v>
      </c>
      <c r="AA417">
        <v>5.5</v>
      </c>
      <c r="AB417">
        <v>0.21</v>
      </c>
      <c r="AC417">
        <v>1.514</v>
      </c>
      <c r="AK417" t="s">
        <v>98</v>
      </c>
      <c r="AM417" t="s">
        <v>98</v>
      </c>
      <c r="AN417" t="s">
        <v>98</v>
      </c>
      <c r="AO417" t="s">
        <v>98</v>
      </c>
      <c r="AP417" t="s">
        <v>99</v>
      </c>
      <c r="AQ417" t="s">
        <v>102</v>
      </c>
      <c r="AV417" t="s">
        <v>98</v>
      </c>
      <c r="AX417" t="s">
        <v>205</v>
      </c>
      <c r="BF417" t="s">
        <v>1401</v>
      </c>
      <c r="BG417" t="s">
        <v>98</v>
      </c>
      <c r="BH417" t="s">
        <v>98</v>
      </c>
      <c r="BI417" t="s">
        <v>98</v>
      </c>
      <c r="BK417" t="s">
        <v>138</v>
      </c>
      <c r="CA417" t="s">
        <v>1347</v>
      </c>
      <c r="CB417" t="s">
        <v>205</v>
      </c>
      <c r="CL417" t="s">
        <v>98</v>
      </c>
      <c r="CM417" t="s">
        <v>98</v>
      </c>
      <c r="CN417" t="s">
        <v>349</v>
      </c>
      <c r="CO417" s="1">
        <v>43406</v>
      </c>
      <c r="CP417" s="1">
        <v>43595</v>
      </c>
    </row>
    <row r="418" spans="1:94" x14ac:dyDescent="0.25">
      <c r="A418" s="4" t="s">
        <v>1402</v>
      </c>
      <c r="B418" t="str">
        <f xml:space="preserve"> "" &amp; 706411053252</f>
        <v>706411053252</v>
      </c>
      <c r="C418" t="s">
        <v>786</v>
      </c>
      <c r="D418" t="s">
        <v>1403</v>
      </c>
      <c r="F418" t="s">
        <v>135</v>
      </c>
      <c r="G418">
        <v>1</v>
      </c>
      <c r="H418">
        <v>1</v>
      </c>
      <c r="I418" t="s">
        <v>97</v>
      </c>
      <c r="J418" s="32">
        <v>12.75</v>
      </c>
      <c r="K418" s="32">
        <v>38.25</v>
      </c>
      <c r="L418">
        <v>0</v>
      </c>
      <c r="N418">
        <v>0</v>
      </c>
      <c r="S418">
        <v>24</v>
      </c>
      <c r="U418">
        <v>0.75</v>
      </c>
      <c r="V418">
        <v>0.2</v>
      </c>
      <c r="W418">
        <v>1.5</v>
      </c>
      <c r="X418">
        <v>1</v>
      </c>
      <c r="Y418">
        <v>2.63</v>
      </c>
      <c r="Z418">
        <v>24.5</v>
      </c>
      <c r="AA418">
        <v>5.5</v>
      </c>
      <c r="AB418">
        <v>0.21</v>
      </c>
      <c r="AC418">
        <v>1.514</v>
      </c>
      <c r="AK418" t="s">
        <v>98</v>
      </c>
      <c r="AM418" t="s">
        <v>98</v>
      </c>
      <c r="AN418" t="s">
        <v>98</v>
      </c>
      <c r="AO418" t="s">
        <v>98</v>
      </c>
      <c r="AP418" t="s">
        <v>99</v>
      </c>
      <c r="AQ418" t="s">
        <v>102</v>
      </c>
      <c r="AV418" t="s">
        <v>98</v>
      </c>
      <c r="AX418" t="s">
        <v>371</v>
      </c>
      <c r="BF418" t="s">
        <v>1404</v>
      </c>
      <c r="BG418" t="s">
        <v>98</v>
      </c>
      <c r="BH418" t="s">
        <v>98</v>
      </c>
      <c r="BI418" t="s">
        <v>98</v>
      </c>
      <c r="BK418" t="s">
        <v>138</v>
      </c>
      <c r="CA418" t="s">
        <v>1347</v>
      </c>
      <c r="CB418" t="s">
        <v>371</v>
      </c>
      <c r="CL418" t="s">
        <v>98</v>
      </c>
      <c r="CM418" t="s">
        <v>98</v>
      </c>
      <c r="CN418" t="s">
        <v>349</v>
      </c>
      <c r="CO418" s="1">
        <v>43406</v>
      </c>
      <c r="CP418" s="1">
        <v>43595</v>
      </c>
    </row>
    <row r="419" spans="1:94" x14ac:dyDescent="0.25">
      <c r="A419" s="4" t="s">
        <v>1405</v>
      </c>
      <c r="B419" t="str">
        <f xml:space="preserve"> "" &amp; 706411060540</f>
        <v>706411060540</v>
      </c>
      <c r="C419" t="s">
        <v>786</v>
      </c>
      <c r="D419" t="s">
        <v>4352</v>
      </c>
      <c r="F419" t="s">
        <v>135</v>
      </c>
      <c r="G419">
        <v>1</v>
      </c>
      <c r="H419">
        <v>1</v>
      </c>
      <c r="I419" t="s">
        <v>97</v>
      </c>
      <c r="J419" s="32">
        <v>12.75</v>
      </c>
      <c r="K419" s="32">
        <v>38.25</v>
      </c>
      <c r="L419">
        <v>0</v>
      </c>
      <c r="N419">
        <v>0</v>
      </c>
      <c r="S419">
        <v>24</v>
      </c>
      <c r="U419">
        <v>0.75</v>
      </c>
      <c r="V419">
        <v>0.2</v>
      </c>
      <c r="W419">
        <v>1.5</v>
      </c>
      <c r="X419">
        <v>1</v>
      </c>
      <c r="Y419">
        <v>2.63</v>
      </c>
      <c r="Z419">
        <v>24.5</v>
      </c>
      <c r="AA419">
        <v>5.5</v>
      </c>
      <c r="AB419">
        <v>0.21</v>
      </c>
      <c r="AC419">
        <v>1.52</v>
      </c>
      <c r="AK419" t="s">
        <v>98</v>
      </c>
      <c r="AM419" t="s">
        <v>98</v>
      </c>
      <c r="AN419" t="s">
        <v>98</v>
      </c>
      <c r="AO419" t="s">
        <v>98</v>
      </c>
      <c r="AP419" t="s">
        <v>99</v>
      </c>
      <c r="AQ419" t="s">
        <v>102</v>
      </c>
      <c r="AV419" t="s">
        <v>98</v>
      </c>
      <c r="AX419" t="s">
        <v>1095</v>
      </c>
      <c r="BF419" t="s">
        <v>1406</v>
      </c>
      <c r="BG419" t="s">
        <v>98</v>
      </c>
      <c r="BH419" t="s">
        <v>98</v>
      </c>
      <c r="BI419" t="s">
        <v>98</v>
      </c>
      <c r="BJ419" t="s">
        <v>291</v>
      </c>
      <c r="BK419" t="s">
        <v>292</v>
      </c>
      <c r="CA419" t="s">
        <v>1347</v>
      </c>
      <c r="CB419" t="s">
        <v>1095</v>
      </c>
      <c r="CL419" t="s">
        <v>98</v>
      </c>
      <c r="CM419" t="s">
        <v>98</v>
      </c>
      <c r="CN419" t="s">
        <v>349</v>
      </c>
      <c r="CO419" s="1">
        <v>43642</v>
      </c>
      <c r="CP419" s="1">
        <v>43648</v>
      </c>
    </row>
    <row r="420" spans="1:94" x14ac:dyDescent="0.25">
      <c r="A420" s="4" t="s">
        <v>1407</v>
      </c>
      <c r="B420" t="str">
        <f xml:space="preserve"> "" &amp; 706411056802</f>
        <v>706411056802</v>
      </c>
      <c r="C420" t="s">
        <v>786</v>
      </c>
      <c r="D420" t="s">
        <v>1408</v>
      </c>
      <c r="F420" t="s">
        <v>135</v>
      </c>
      <c r="G420">
        <v>1</v>
      </c>
      <c r="H420">
        <v>1</v>
      </c>
      <c r="I420" t="s">
        <v>97</v>
      </c>
      <c r="J420" s="32">
        <v>12.75</v>
      </c>
      <c r="K420" s="32">
        <v>38.25</v>
      </c>
      <c r="L420">
        <v>0</v>
      </c>
      <c r="N420">
        <v>0</v>
      </c>
      <c r="S420">
        <v>24</v>
      </c>
      <c r="U420">
        <v>0.75</v>
      </c>
      <c r="V420">
        <v>0.2</v>
      </c>
      <c r="W420">
        <v>1.5</v>
      </c>
      <c r="X420">
        <v>1</v>
      </c>
      <c r="Y420">
        <v>2.63</v>
      </c>
      <c r="Z420">
        <v>24.5</v>
      </c>
      <c r="AA420">
        <v>5.5</v>
      </c>
      <c r="AB420">
        <v>0.21</v>
      </c>
      <c r="AC420">
        <v>1.514</v>
      </c>
      <c r="AK420" t="s">
        <v>98</v>
      </c>
      <c r="AM420" t="s">
        <v>98</v>
      </c>
      <c r="AN420" t="s">
        <v>98</v>
      </c>
      <c r="AO420" t="s">
        <v>98</v>
      </c>
      <c r="AP420" t="s">
        <v>99</v>
      </c>
      <c r="AQ420" t="s">
        <v>102</v>
      </c>
      <c r="AV420" t="s">
        <v>98</v>
      </c>
      <c r="AX420" t="s">
        <v>209</v>
      </c>
      <c r="BF420" t="s">
        <v>1409</v>
      </c>
      <c r="BG420" t="s">
        <v>98</v>
      </c>
      <c r="BH420" t="s">
        <v>98</v>
      </c>
      <c r="BI420" t="s">
        <v>98</v>
      </c>
      <c r="BK420" t="s">
        <v>138</v>
      </c>
      <c r="CA420" t="s">
        <v>1347</v>
      </c>
      <c r="CB420" t="s">
        <v>209</v>
      </c>
      <c r="CL420" t="s">
        <v>98</v>
      </c>
      <c r="CM420" t="s">
        <v>98</v>
      </c>
      <c r="CN420" t="s">
        <v>349</v>
      </c>
      <c r="CO420" s="1">
        <v>42858</v>
      </c>
      <c r="CP420" s="1">
        <v>43595</v>
      </c>
    </row>
    <row r="421" spans="1:94" x14ac:dyDescent="0.25">
      <c r="A421" s="4" t="s">
        <v>1410</v>
      </c>
      <c r="B421" t="str">
        <f xml:space="preserve"> "" &amp; 706411025662</f>
        <v>706411025662</v>
      </c>
      <c r="C421" t="s">
        <v>786</v>
      </c>
      <c r="D421" t="s">
        <v>4383</v>
      </c>
      <c r="F421" t="s">
        <v>135</v>
      </c>
      <c r="G421">
        <v>1</v>
      </c>
      <c r="H421">
        <v>1</v>
      </c>
      <c r="I421" t="s">
        <v>97</v>
      </c>
      <c r="J421" s="32">
        <v>12.75</v>
      </c>
      <c r="K421" s="32">
        <v>38.25</v>
      </c>
      <c r="L421">
        <v>0</v>
      </c>
      <c r="N421">
        <v>0</v>
      </c>
      <c r="S421">
        <v>24</v>
      </c>
      <c r="U421">
        <v>0.75</v>
      </c>
      <c r="V421">
        <v>0.2</v>
      </c>
      <c r="W421">
        <v>1.5</v>
      </c>
      <c r="X421">
        <v>1</v>
      </c>
      <c r="Y421">
        <v>2.63</v>
      </c>
      <c r="Z421">
        <v>24.5</v>
      </c>
      <c r="AA421">
        <v>5.5</v>
      </c>
      <c r="AB421">
        <v>0.21</v>
      </c>
      <c r="AC421">
        <v>1.514</v>
      </c>
      <c r="AK421" t="s">
        <v>98</v>
      </c>
      <c r="AM421" t="s">
        <v>98</v>
      </c>
      <c r="AN421" t="s">
        <v>98</v>
      </c>
      <c r="AO421" t="s">
        <v>98</v>
      </c>
      <c r="AP421" t="s">
        <v>99</v>
      </c>
      <c r="AQ421" t="s">
        <v>102</v>
      </c>
      <c r="AV421" t="s">
        <v>98</v>
      </c>
      <c r="AX421" t="s">
        <v>212</v>
      </c>
      <c r="BF421" t="s">
        <v>1411</v>
      </c>
      <c r="BG421" t="s">
        <v>98</v>
      </c>
      <c r="BH421" t="s">
        <v>98</v>
      </c>
      <c r="BI421" t="s">
        <v>98</v>
      </c>
      <c r="BK421" t="s">
        <v>138</v>
      </c>
      <c r="CA421" t="s">
        <v>1347</v>
      </c>
      <c r="CB421" t="s">
        <v>212</v>
      </c>
      <c r="CL421" t="s">
        <v>98</v>
      </c>
      <c r="CM421" t="s">
        <v>98</v>
      </c>
      <c r="CO421" s="1">
        <v>39728</v>
      </c>
      <c r="CP421" s="1">
        <v>43595</v>
      </c>
    </row>
    <row r="422" spans="1:94" x14ac:dyDescent="0.25">
      <c r="A422" s="4" t="s">
        <v>1412</v>
      </c>
      <c r="B422" t="str">
        <f xml:space="preserve"> "" &amp; 706411035319</f>
        <v>706411035319</v>
      </c>
      <c r="C422" t="s">
        <v>786</v>
      </c>
      <c r="D422" t="s">
        <v>4384</v>
      </c>
      <c r="F422" t="s">
        <v>135</v>
      </c>
      <c r="G422">
        <v>1</v>
      </c>
      <c r="H422">
        <v>1</v>
      </c>
      <c r="I422" t="s">
        <v>97</v>
      </c>
      <c r="J422" s="32">
        <v>12.75</v>
      </c>
      <c r="K422" s="32">
        <v>38.25</v>
      </c>
      <c r="L422">
        <v>0</v>
      </c>
      <c r="N422">
        <v>0</v>
      </c>
      <c r="S422">
        <v>24</v>
      </c>
      <c r="U422">
        <v>0.75</v>
      </c>
      <c r="V422">
        <v>0.2</v>
      </c>
      <c r="W422">
        <v>1.5</v>
      </c>
      <c r="X422">
        <v>1</v>
      </c>
      <c r="Y422">
        <v>2.63</v>
      </c>
      <c r="Z422">
        <v>24.5</v>
      </c>
      <c r="AA422">
        <v>5.5</v>
      </c>
      <c r="AB422">
        <v>0.21</v>
      </c>
      <c r="AC422">
        <v>1.514</v>
      </c>
      <c r="AK422" t="s">
        <v>98</v>
      </c>
      <c r="AM422" t="s">
        <v>98</v>
      </c>
      <c r="AN422" t="s">
        <v>98</v>
      </c>
      <c r="AO422" t="s">
        <v>98</v>
      </c>
      <c r="AP422" t="s">
        <v>99</v>
      </c>
      <c r="AQ422" t="s">
        <v>102</v>
      </c>
      <c r="AV422" t="s">
        <v>98</v>
      </c>
      <c r="AX422" t="s">
        <v>215</v>
      </c>
      <c r="BF422" t="s">
        <v>1413</v>
      </c>
      <c r="BG422" t="s">
        <v>98</v>
      </c>
      <c r="BH422" t="s">
        <v>98</v>
      </c>
      <c r="BI422" t="s">
        <v>98</v>
      </c>
      <c r="BK422" t="s">
        <v>138</v>
      </c>
      <c r="CA422" t="s">
        <v>1347</v>
      </c>
      <c r="CB422" t="s">
        <v>215</v>
      </c>
      <c r="CL422" t="s">
        <v>98</v>
      </c>
      <c r="CM422" t="s">
        <v>98</v>
      </c>
      <c r="CO422" s="1">
        <v>39728</v>
      </c>
      <c r="CP422" s="1">
        <v>43595</v>
      </c>
    </row>
    <row r="423" spans="1:94" x14ac:dyDescent="0.25">
      <c r="A423" s="4" t="s">
        <v>1414</v>
      </c>
      <c r="B423" t="str">
        <f xml:space="preserve"> "" &amp; 706411043185</f>
        <v>706411043185</v>
      </c>
      <c r="C423" t="s">
        <v>786</v>
      </c>
      <c r="D423" t="s">
        <v>1415</v>
      </c>
      <c r="F423" t="s">
        <v>135</v>
      </c>
      <c r="G423">
        <v>1</v>
      </c>
      <c r="H423">
        <v>1</v>
      </c>
      <c r="I423" t="s">
        <v>97</v>
      </c>
      <c r="J423" s="32">
        <v>12.75</v>
      </c>
      <c r="K423" s="32">
        <v>38.25</v>
      </c>
      <c r="L423">
        <v>0</v>
      </c>
      <c r="N423">
        <v>0</v>
      </c>
      <c r="S423">
        <v>24</v>
      </c>
      <c r="U423">
        <v>0.75</v>
      </c>
      <c r="V423">
        <v>0.2</v>
      </c>
      <c r="W423">
        <v>1.5</v>
      </c>
      <c r="X423">
        <v>1</v>
      </c>
      <c r="Y423">
        <v>2.63</v>
      </c>
      <c r="Z423">
        <v>24.5</v>
      </c>
      <c r="AA423">
        <v>5.5</v>
      </c>
      <c r="AB423">
        <v>0.21</v>
      </c>
      <c r="AC423">
        <v>1.514</v>
      </c>
      <c r="AK423" t="s">
        <v>98</v>
      </c>
      <c r="AM423" t="s">
        <v>98</v>
      </c>
      <c r="AN423" t="s">
        <v>98</v>
      </c>
      <c r="AO423" t="s">
        <v>98</v>
      </c>
      <c r="AP423" t="s">
        <v>99</v>
      </c>
      <c r="AQ423" t="s">
        <v>102</v>
      </c>
      <c r="AV423" t="s">
        <v>98</v>
      </c>
      <c r="AX423" t="s">
        <v>219</v>
      </c>
      <c r="BF423" t="s">
        <v>1416</v>
      </c>
      <c r="BG423" t="s">
        <v>98</v>
      </c>
      <c r="BH423" t="s">
        <v>98</v>
      </c>
      <c r="BI423" t="s">
        <v>98</v>
      </c>
      <c r="BK423" t="s">
        <v>138</v>
      </c>
      <c r="CA423" t="s">
        <v>1347</v>
      </c>
      <c r="CB423" t="s">
        <v>219</v>
      </c>
      <c r="CL423" t="s">
        <v>98</v>
      </c>
      <c r="CM423" t="s">
        <v>98</v>
      </c>
      <c r="CN423" t="s">
        <v>349</v>
      </c>
      <c r="CO423" s="1">
        <v>43414</v>
      </c>
      <c r="CP423" s="1">
        <v>43595</v>
      </c>
    </row>
    <row r="424" spans="1:94" x14ac:dyDescent="0.25">
      <c r="A424" s="4" t="s">
        <v>1417</v>
      </c>
      <c r="B424" t="str">
        <f xml:space="preserve"> "" &amp; 706411033513</f>
        <v>706411033513</v>
      </c>
      <c r="C424" t="s">
        <v>786</v>
      </c>
      <c r="D424" t="s">
        <v>1418</v>
      </c>
      <c r="F424" t="s">
        <v>135</v>
      </c>
      <c r="G424">
        <v>1</v>
      </c>
      <c r="H424">
        <v>1</v>
      </c>
      <c r="I424" t="s">
        <v>97</v>
      </c>
      <c r="J424" s="32">
        <v>12.75</v>
      </c>
      <c r="K424" s="32">
        <v>38.25</v>
      </c>
      <c r="L424">
        <v>0</v>
      </c>
      <c r="N424">
        <v>0</v>
      </c>
      <c r="S424">
        <v>24</v>
      </c>
      <c r="U424">
        <v>0.75</v>
      </c>
      <c r="V424">
        <v>0.2</v>
      </c>
      <c r="W424">
        <v>1.5</v>
      </c>
      <c r="X424">
        <v>1</v>
      </c>
      <c r="Y424">
        <v>2.63</v>
      </c>
      <c r="Z424">
        <v>24.5</v>
      </c>
      <c r="AA424">
        <v>5.5</v>
      </c>
      <c r="AB424">
        <v>0.21</v>
      </c>
      <c r="AC424">
        <v>1.514</v>
      </c>
      <c r="AK424" t="s">
        <v>98</v>
      </c>
      <c r="AM424" t="s">
        <v>98</v>
      </c>
      <c r="AN424" t="s">
        <v>98</v>
      </c>
      <c r="AO424" t="s">
        <v>98</v>
      </c>
      <c r="AP424" t="s">
        <v>99</v>
      </c>
      <c r="AQ424" t="s">
        <v>102</v>
      </c>
      <c r="AV424" t="s">
        <v>98</v>
      </c>
      <c r="AX424" t="s">
        <v>223</v>
      </c>
      <c r="BF424" t="s">
        <v>1419</v>
      </c>
      <c r="BG424" t="s">
        <v>98</v>
      </c>
      <c r="BH424" t="s">
        <v>98</v>
      </c>
      <c r="BI424" t="s">
        <v>98</v>
      </c>
      <c r="BK424" t="s">
        <v>138</v>
      </c>
      <c r="CA424" t="s">
        <v>1347</v>
      </c>
      <c r="CB424" t="s">
        <v>223</v>
      </c>
      <c r="CL424" t="s">
        <v>98</v>
      </c>
      <c r="CM424" t="s">
        <v>98</v>
      </c>
      <c r="CO424" s="1">
        <v>39728</v>
      </c>
      <c r="CP424" s="1">
        <v>43595</v>
      </c>
    </row>
    <row r="425" spans="1:94" x14ac:dyDescent="0.25">
      <c r="A425" s="4" t="s">
        <v>1420</v>
      </c>
      <c r="B425" t="str">
        <f xml:space="preserve"> "" &amp; 706411039010</f>
        <v>706411039010</v>
      </c>
      <c r="C425" t="s">
        <v>786</v>
      </c>
      <c r="D425" t="s">
        <v>1421</v>
      </c>
      <c r="F425" t="s">
        <v>135</v>
      </c>
      <c r="G425">
        <v>1</v>
      </c>
      <c r="H425">
        <v>1</v>
      </c>
      <c r="I425" t="s">
        <v>97</v>
      </c>
      <c r="J425" s="32">
        <v>12.75</v>
      </c>
      <c r="K425" s="32">
        <v>38.25</v>
      </c>
      <c r="L425">
        <v>0</v>
      </c>
      <c r="N425">
        <v>0</v>
      </c>
      <c r="S425">
        <v>24</v>
      </c>
      <c r="U425">
        <v>0.75</v>
      </c>
      <c r="V425">
        <v>0.2</v>
      </c>
      <c r="W425">
        <v>1.5</v>
      </c>
      <c r="X425">
        <v>1</v>
      </c>
      <c r="Y425">
        <v>2.63</v>
      </c>
      <c r="Z425">
        <v>24.5</v>
      </c>
      <c r="AA425">
        <v>5.5</v>
      </c>
      <c r="AB425">
        <v>0.21</v>
      </c>
      <c r="AC425">
        <v>1.514</v>
      </c>
      <c r="AK425" t="s">
        <v>98</v>
      </c>
      <c r="AM425" t="s">
        <v>98</v>
      </c>
      <c r="AN425" t="s">
        <v>98</v>
      </c>
      <c r="AO425" t="s">
        <v>98</v>
      </c>
      <c r="AP425" t="s">
        <v>99</v>
      </c>
      <c r="AQ425" t="s">
        <v>102</v>
      </c>
      <c r="AV425" t="s">
        <v>98</v>
      </c>
      <c r="AX425" t="s">
        <v>227</v>
      </c>
      <c r="BF425" t="s">
        <v>1422</v>
      </c>
      <c r="BG425" t="s">
        <v>98</v>
      </c>
      <c r="BH425" t="s">
        <v>98</v>
      </c>
      <c r="BI425" t="s">
        <v>98</v>
      </c>
      <c r="CB425" t="s">
        <v>227</v>
      </c>
      <c r="CL425" t="s">
        <v>98</v>
      </c>
      <c r="CM425" t="s">
        <v>98</v>
      </c>
      <c r="CP425" s="1">
        <v>43595</v>
      </c>
    </row>
    <row r="426" spans="1:94" x14ac:dyDescent="0.25">
      <c r="A426" s="4" t="s">
        <v>1423</v>
      </c>
      <c r="B426" t="str">
        <f xml:space="preserve"> "" &amp; 706411027253</f>
        <v>706411027253</v>
      </c>
      <c r="C426" t="s">
        <v>786</v>
      </c>
      <c r="D426" t="s">
        <v>1424</v>
      </c>
      <c r="F426" t="s">
        <v>135</v>
      </c>
      <c r="G426">
        <v>1</v>
      </c>
      <c r="H426">
        <v>1</v>
      </c>
      <c r="I426" t="s">
        <v>97</v>
      </c>
      <c r="J426" s="32">
        <v>12.75</v>
      </c>
      <c r="K426" s="32">
        <v>38.25</v>
      </c>
      <c r="L426">
        <v>0</v>
      </c>
      <c r="N426">
        <v>0</v>
      </c>
      <c r="S426">
        <v>24</v>
      </c>
      <c r="U426">
        <v>0.75</v>
      </c>
      <c r="V426">
        <v>0.2</v>
      </c>
      <c r="W426">
        <v>1.5</v>
      </c>
      <c r="X426">
        <v>1</v>
      </c>
      <c r="Y426">
        <v>2.63</v>
      </c>
      <c r="Z426">
        <v>24.5</v>
      </c>
      <c r="AA426">
        <v>5.5</v>
      </c>
      <c r="AB426">
        <v>0.21</v>
      </c>
      <c r="AC426">
        <v>1.514</v>
      </c>
      <c r="AK426" t="s">
        <v>98</v>
      </c>
      <c r="AM426" t="s">
        <v>98</v>
      </c>
      <c r="AN426" t="s">
        <v>98</v>
      </c>
      <c r="AO426" t="s">
        <v>98</v>
      </c>
      <c r="AP426" t="s">
        <v>99</v>
      </c>
      <c r="AQ426" t="s">
        <v>102</v>
      </c>
      <c r="AV426" t="s">
        <v>98</v>
      </c>
      <c r="AX426" t="s">
        <v>235</v>
      </c>
      <c r="BF426" t="s">
        <v>1425</v>
      </c>
      <c r="BG426" t="s">
        <v>98</v>
      </c>
      <c r="BH426" t="s">
        <v>98</v>
      </c>
      <c r="BI426" t="s">
        <v>98</v>
      </c>
      <c r="BK426" t="s">
        <v>138</v>
      </c>
      <c r="CA426" t="s">
        <v>1347</v>
      </c>
      <c r="CB426" t="s">
        <v>235</v>
      </c>
      <c r="CL426" t="s">
        <v>98</v>
      </c>
      <c r="CM426" t="s">
        <v>98</v>
      </c>
      <c r="CO426" s="1">
        <v>39728</v>
      </c>
      <c r="CP426" s="1">
        <v>43595</v>
      </c>
    </row>
    <row r="427" spans="1:94" x14ac:dyDescent="0.25">
      <c r="A427" s="4" t="s">
        <v>1426</v>
      </c>
      <c r="B427" t="str">
        <f xml:space="preserve"> "" &amp; 706411035357</f>
        <v>706411035357</v>
      </c>
      <c r="C427" t="s">
        <v>786</v>
      </c>
      <c r="D427" t="s">
        <v>4385</v>
      </c>
      <c r="F427" t="s">
        <v>135</v>
      </c>
      <c r="G427">
        <v>1</v>
      </c>
      <c r="H427">
        <v>1</v>
      </c>
      <c r="I427" t="s">
        <v>97</v>
      </c>
      <c r="J427" s="32">
        <v>12.75</v>
      </c>
      <c r="K427" s="32">
        <v>38.25</v>
      </c>
      <c r="L427">
        <v>0</v>
      </c>
      <c r="N427">
        <v>0</v>
      </c>
      <c r="S427">
        <v>24</v>
      </c>
      <c r="U427">
        <v>0.75</v>
      </c>
      <c r="V427">
        <v>0.2</v>
      </c>
      <c r="W427">
        <v>1.5</v>
      </c>
      <c r="X427">
        <v>1</v>
      </c>
      <c r="Y427">
        <v>2.63</v>
      </c>
      <c r="Z427">
        <v>24.5</v>
      </c>
      <c r="AA427">
        <v>5.5</v>
      </c>
      <c r="AB427">
        <v>0.21</v>
      </c>
      <c r="AC427">
        <v>1.514</v>
      </c>
      <c r="AK427" t="s">
        <v>98</v>
      </c>
      <c r="AM427" t="s">
        <v>98</v>
      </c>
      <c r="AN427" t="s">
        <v>98</v>
      </c>
      <c r="AO427" t="s">
        <v>98</v>
      </c>
      <c r="AP427" t="s">
        <v>99</v>
      </c>
      <c r="AQ427" t="s">
        <v>102</v>
      </c>
      <c r="AV427" t="s">
        <v>98</v>
      </c>
      <c r="AX427" t="s">
        <v>238</v>
      </c>
      <c r="BF427" t="s">
        <v>1427</v>
      </c>
      <c r="BG427" t="s">
        <v>98</v>
      </c>
      <c r="BH427" t="s">
        <v>98</v>
      </c>
      <c r="BI427" t="s">
        <v>98</v>
      </c>
      <c r="BK427" t="s">
        <v>138</v>
      </c>
      <c r="CA427" t="s">
        <v>1347</v>
      </c>
      <c r="CB427" t="s">
        <v>238</v>
      </c>
      <c r="CL427" t="s">
        <v>98</v>
      </c>
      <c r="CM427" t="s">
        <v>98</v>
      </c>
      <c r="CO427" s="1">
        <v>39728</v>
      </c>
      <c r="CP427" s="1">
        <v>43595</v>
      </c>
    </row>
    <row r="428" spans="1:94" x14ac:dyDescent="0.25">
      <c r="A428" s="4" t="s">
        <v>1428</v>
      </c>
      <c r="B428" t="str">
        <f xml:space="preserve"> "" &amp; 706411053153</f>
        <v>706411053153</v>
      </c>
      <c r="C428" t="s">
        <v>786</v>
      </c>
      <c r="D428" t="s">
        <v>1429</v>
      </c>
      <c r="F428" t="s">
        <v>135</v>
      </c>
      <c r="G428">
        <v>1</v>
      </c>
      <c r="H428">
        <v>1</v>
      </c>
      <c r="I428" t="s">
        <v>97</v>
      </c>
      <c r="J428" s="32">
        <v>12.75</v>
      </c>
      <c r="K428" s="32">
        <v>38.25</v>
      </c>
      <c r="L428">
        <v>0</v>
      </c>
      <c r="N428">
        <v>0</v>
      </c>
      <c r="S428">
        <v>24</v>
      </c>
      <c r="U428">
        <v>0.75</v>
      </c>
      <c r="V428">
        <v>0.2</v>
      </c>
      <c r="W428">
        <v>1.5</v>
      </c>
      <c r="X428">
        <v>1</v>
      </c>
      <c r="Y428">
        <v>2.63</v>
      </c>
      <c r="Z428">
        <v>24.5</v>
      </c>
      <c r="AA428">
        <v>5.5</v>
      </c>
      <c r="AB428">
        <v>0.21</v>
      </c>
      <c r="AC428">
        <v>1.514</v>
      </c>
      <c r="AK428" t="s">
        <v>98</v>
      </c>
      <c r="AM428" t="s">
        <v>98</v>
      </c>
      <c r="AN428" t="s">
        <v>98</v>
      </c>
      <c r="AO428" t="s">
        <v>98</v>
      </c>
      <c r="AP428" t="s">
        <v>99</v>
      </c>
      <c r="AQ428" t="s">
        <v>102</v>
      </c>
      <c r="AV428" t="s">
        <v>98</v>
      </c>
      <c r="BF428" t="s">
        <v>1430</v>
      </c>
      <c r="BG428" t="s">
        <v>98</v>
      </c>
      <c r="BH428" t="s">
        <v>98</v>
      </c>
      <c r="BI428" t="s">
        <v>98</v>
      </c>
      <c r="CL428" t="s">
        <v>98</v>
      </c>
      <c r="CM428" t="s">
        <v>98</v>
      </c>
      <c r="CP428" s="1">
        <v>43595</v>
      </c>
    </row>
    <row r="429" spans="1:94" x14ac:dyDescent="0.25">
      <c r="A429" s="4" t="s">
        <v>1431</v>
      </c>
      <c r="B429" t="str">
        <f xml:space="preserve"> "" &amp; 706411009921</f>
        <v>706411009921</v>
      </c>
      <c r="C429" t="s">
        <v>786</v>
      </c>
      <c r="D429" t="s">
        <v>1432</v>
      </c>
      <c r="F429" t="s">
        <v>135</v>
      </c>
      <c r="G429">
        <v>1</v>
      </c>
      <c r="H429">
        <v>1</v>
      </c>
      <c r="I429" t="s">
        <v>97</v>
      </c>
      <c r="J429" s="32">
        <v>12.75</v>
      </c>
      <c r="K429" s="32">
        <v>38.25</v>
      </c>
      <c r="L429">
        <v>0</v>
      </c>
      <c r="N429">
        <v>0</v>
      </c>
      <c r="S429">
        <v>24</v>
      </c>
      <c r="U429">
        <v>0.75</v>
      </c>
      <c r="V429">
        <v>0.2</v>
      </c>
      <c r="W429">
        <v>1.5</v>
      </c>
      <c r="X429">
        <v>1</v>
      </c>
      <c r="Y429">
        <v>2.63</v>
      </c>
      <c r="Z429">
        <v>24.5</v>
      </c>
      <c r="AA429">
        <v>5.5</v>
      </c>
      <c r="AB429">
        <v>0.21</v>
      </c>
      <c r="AC429">
        <v>1.514</v>
      </c>
      <c r="AK429" t="s">
        <v>98</v>
      </c>
      <c r="AM429" t="s">
        <v>98</v>
      </c>
      <c r="AN429" t="s">
        <v>98</v>
      </c>
      <c r="AO429" t="s">
        <v>98</v>
      </c>
      <c r="AP429" t="s">
        <v>99</v>
      </c>
      <c r="AQ429" t="s">
        <v>102</v>
      </c>
      <c r="AV429" t="s">
        <v>98</v>
      </c>
      <c r="AX429" t="s">
        <v>245</v>
      </c>
      <c r="BF429" t="s">
        <v>1433</v>
      </c>
      <c r="BG429" t="s">
        <v>98</v>
      </c>
      <c r="BH429" t="s">
        <v>98</v>
      </c>
      <c r="BI429" t="s">
        <v>98</v>
      </c>
      <c r="BK429" t="s">
        <v>138</v>
      </c>
      <c r="CA429" t="s">
        <v>1347</v>
      </c>
      <c r="CB429" t="s">
        <v>245</v>
      </c>
      <c r="CL429" t="s">
        <v>98</v>
      </c>
      <c r="CM429" t="s">
        <v>98</v>
      </c>
      <c r="CO429" s="1">
        <v>39728</v>
      </c>
      <c r="CP429" s="1">
        <v>43595</v>
      </c>
    </row>
    <row r="430" spans="1:94" x14ac:dyDescent="0.25">
      <c r="A430" s="4" t="s">
        <v>1434</v>
      </c>
      <c r="B430" t="str">
        <f xml:space="preserve"> "" &amp; 706411039522</f>
        <v>706411039522</v>
      </c>
      <c r="C430" t="s">
        <v>786</v>
      </c>
      <c r="D430" t="s">
        <v>1435</v>
      </c>
      <c r="F430" t="s">
        <v>135</v>
      </c>
      <c r="G430">
        <v>1</v>
      </c>
      <c r="H430">
        <v>1</v>
      </c>
      <c r="I430" t="s">
        <v>97</v>
      </c>
      <c r="J430" s="32">
        <v>12.75</v>
      </c>
      <c r="K430" s="32">
        <v>38.25</v>
      </c>
      <c r="L430">
        <v>0</v>
      </c>
      <c r="N430">
        <v>0</v>
      </c>
      <c r="S430">
        <v>24</v>
      </c>
      <c r="U430">
        <v>0.75</v>
      </c>
      <c r="V430">
        <v>0.2</v>
      </c>
      <c r="W430">
        <v>1.5</v>
      </c>
      <c r="X430">
        <v>1</v>
      </c>
      <c r="Y430">
        <v>2.63</v>
      </c>
      <c r="Z430">
        <v>24.5</v>
      </c>
      <c r="AA430">
        <v>5.5</v>
      </c>
      <c r="AB430">
        <v>0.21</v>
      </c>
      <c r="AC430">
        <v>1.514</v>
      </c>
      <c r="AK430" t="s">
        <v>98</v>
      </c>
      <c r="AM430" t="s">
        <v>98</v>
      </c>
      <c r="AN430" t="s">
        <v>98</v>
      </c>
      <c r="AO430" t="s">
        <v>98</v>
      </c>
      <c r="AP430" t="s">
        <v>99</v>
      </c>
      <c r="AQ430" t="s">
        <v>102</v>
      </c>
      <c r="AV430" t="s">
        <v>98</v>
      </c>
      <c r="AX430" t="s">
        <v>249</v>
      </c>
      <c r="BF430" t="s">
        <v>1436</v>
      </c>
      <c r="BG430" t="s">
        <v>98</v>
      </c>
      <c r="BH430" t="s">
        <v>98</v>
      </c>
      <c r="BI430" t="s">
        <v>98</v>
      </c>
      <c r="BK430" t="s">
        <v>138</v>
      </c>
      <c r="CA430" t="s">
        <v>1347</v>
      </c>
      <c r="CB430" t="s">
        <v>249</v>
      </c>
      <c r="CL430" t="s">
        <v>98</v>
      </c>
      <c r="CM430" t="s">
        <v>98</v>
      </c>
      <c r="CO430" s="1">
        <v>40841</v>
      </c>
      <c r="CP430" s="1">
        <v>43595</v>
      </c>
    </row>
    <row r="431" spans="1:94" x14ac:dyDescent="0.25">
      <c r="A431" s="4" t="s">
        <v>1437</v>
      </c>
      <c r="B431" t="str">
        <f xml:space="preserve"> "" &amp; 706411039027</f>
        <v>706411039027</v>
      </c>
      <c r="C431" t="s">
        <v>786</v>
      </c>
      <c r="D431" t="s">
        <v>1438</v>
      </c>
      <c r="F431" t="s">
        <v>135</v>
      </c>
      <c r="G431">
        <v>1</v>
      </c>
      <c r="H431">
        <v>1</v>
      </c>
      <c r="I431" t="s">
        <v>97</v>
      </c>
      <c r="J431" s="32">
        <v>12.75</v>
      </c>
      <c r="K431" s="32">
        <v>38.25</v>
      </c>
      <c r="L431">
        <v>0</v>
      </c>
      <c r="N431">
        <v>0</v>
      </c>
      <c r="S431">
        <v>24</v>
      </c>
      <c r="U431">
        <v>0.75</v>
      </c>
      <c r="V431">
        <v>0.2</v>
      </c>
      <c r="W431">
        <v>1.5</v>
      </c>
      <c r="X431">
        <v>1</v>
      </c>
      <c r="Y431">
        <v>2.63</v>
      </c>
      <c r="Z431">
        <v>24.5</v>
      </c>
      <c r="AA431">
        <v>5.5</v>
      </c>
      <c r="AB431">
        <v>0.21</v>
      </c>
      <c r="AC431">
        <v>15.17</v>
      </c>
      <c r="AK431" t="s">
        <v>98</v>
      </c>
      <c r="AM431" t="s">
        <v>98</v>
      </c>
      <c r="AN431" t="s">
        <v>98</v>
      </c>
      <c r="AO431" t="s">
        <v>98</v>
      </c>
      <c r="AP431" t="s">
        <v>99</v>
      </c>
      <c r="AQ431" t="s">
        <v>102</v>
      </c>
      <c r="AV431" t="s">
        <v>98</v>
      </c>
      <c r="AX431" t="s">
        <v>253</v>
      </c>
      <c r="BF431" t="s">
        <v>1439</v>
      </c>
      <c r="BG431" t="s">
        <v>98</v>
      </c>
      <c r="BH431" t="s">
        <v>98</v>
      </c>
      <c r="BI431" t="s">
        <v>98</v>
      </c>
      <c r="BK431" t="s">
        <v>138</v>
      </c>
      <c r="CA431" t="s">
        <v>1347</v>
      </c>
      <c r="CB431" t="s">
        <v>253</v>
      </c>
      <c r="CL431" t="s">
        <v>98</v>
      </c>
      <c r="CM431" t="s">
        <v>98</v>
      </c>
      <c r="CO431" s="1">
        <v>40841</v>
      </c>
      <c r="CP431" s="1">
        <v>43595</v>
      </c>
    </row>
    <row r="432" spans="1:94" x14ac:dyDescent="0.25">
      <c r="A432" s="4" t="s">
        <v>1440</v>
      </c>
      <c r="B432" t="str">
        <f xml:space="preserve"> "" &amp; 706411041594</f>
        <v>706411041594</v>
      </c>
      <c r="C432" t="s">
        <v>786</v>
      </c>
      <c r="D432" t="s">
        <v>1441</v>
      </c>
      <c r="F432" t="s">
        <v>135</v>
      </c>
      <c r="G432">
        <v>1</v>
      </c>
      <c r="H432">
        <v>1</v>
      </c>
      <c r="I432" t="s">
        <v>97</v>
      </c>
      <c r="J432" s="32">
        <v>12.75</v>
      </c>
      <c r="K432" s="32">
        <v>38.25</v>
      </c>
      <c r="L432">
        <v>0</v>
      </c>
      <c r="N432">
        <v>0</v>
      </c>
      <c r="S432">
        <v>24</v>
      </c>
      <c r="U432">
        <v>0.75</v>
      </c>
      <c r="V432">
        <v>0.2</v>
      </c>
      <c r="W432">
        <v>1.5</v>
      </c>
      <c r="X432">
        <v>1</v>
      </c>
      <c r="Y432">
        <v>2.63</v>
      </c>
      <c r="Z432">
        <v>24.5</v>
      </c>
      <c r="AA432">
        <v>5.5</v>
      </c>
      <c r="AB432">
        <v>0.21</v>
      </c>
      <c r="AC432">
        <v>1.514</v>
      </c>
      <c r="AK432" t="s">
        <v>98</v>
      </c>
      <c r="AM432" t="s">
        <v>98</v>
      </c>
      <c r="AN432" t="s">
        <v>98</v>
      </c>
      <c r="AO432" t="s">
        <v>98</v>
      </c>
      <c r="AP432" t="s">
        <v>99</v>
      </c>
      <c r="AQ432" t="s">
        <v>102</v>
      </c>
      <c r="AV432" t="s">
        <v>98</v>
      </c>
      <c r="AX432" t="s">
        <v>257</v>
      </c>
      <c r="BF432" t="s">
        <v>1442</v>
      </c>
      <c r="BG432" t="s">
        <v>98</v>
      </c>
      <c r="BH432" t="s">
        <v>98</v>
      </c>
      <c r="BI432" t="s">
        <v>98</v>
      </c>
      <c r="BK432" t="s">
        <v>138</v>
      </c>
      <c r="CA432" t="s">
        <v>1347</v>
      </c>
      <c r="CB432" t="s">
        <v>257</v>
      </c>
      <c r="CL432" t="s">
        <v>98</v>
      </c>
      <c r="CM432" t="s">
        <v>98</v>
      </c>
      <c r="CO432" s="1">
        <v>40841</v>
      </c>
      <c r="CP432" s="1">
        <v>43595</v>
      </c>
    </row>
    <row r="433" spans="1:94" x14ac:dyDescent="0.25">
      <c r="A433" s="4" t="s">
        <v>1443</v>
      </c>
      <c r="B433" t="str">
        <f xml:space="preserve"> "" &amp; 706411003202</f>
        <v>706411003202</v>
      </c>
      <c r="C433" t="s">
        <v>786</v>
      </c>
      <c r="D433" t="s">
        <v>1444</v>
      </c>
      <c r="F433" t="s">
        <v>135</v>
      </c>
      <c r="G433">
        <v>1</v>
      </c>
      <c r="H433">
        <v>1</v>
      </c>
      <c r="I433" t="s">
        <v>97</v>
      </c>
      <c r="J433" s="32">
        <v>12.75</v>
      </c>
      <c r="K433" s="32">
        <v>38.25</v>
      </c>
      <c r="L433">
        <v>0</v>
      </c>
      <c r="N433">
        <v>0</v>
      </c>
      <c r="S433">
        <v>24</v>
      </c>
      <c r="U433">
        <v>0.75</v>
      </c>
      <c r="V433">
        <v>0.2</v>
      </c>
      <c r="W433">
        <v>1.5</v>
      </c>
      <c r="X433">
        <v>1</v>
      </c>
      <c r="Y433">
        <v>2.63</v>
      </c>
      <c r="Z433">
        <v>24.5</v>
      </c>
      <c r="AA433">
        <v>5.5</v>
      </c>
      <c r="AB433">
        <v>0.21</v>
      </c>
      <c r="AC433">
        <v>1.514</v>
      </c>
      <c r="AK433" t="s">
        <v>98</v>
      </c>
      <c r="AM433" t="s">
        <v>98</v>
      </c>
      <c r="AN433" t="s">
        <v>98</v>
      </c>
      <c r="AO433" t="s">
        <v>98</v>
      </c>
      <c r="AP433" t="s">
        <v>99</v>
      </c>
      <c r="AQ433" t="s">
        <v>102</v>
      </c>
      <c r="AV433" t="s">
        <v>98</v>
      </c>
      <c r="AX433" t="s">
        <v>261</v>
      </c>
      <c r="BF433" t="s">
        <v>1445</v>
      </c>
      <c r="BG433" t="s">
        <v>98</v>
      </c>
      <c r="BH433" t="s">
        <v>98</v>
      </c>
      <c r="BI433" t="s">
        <v>98</v>
      </c>
      <c r="BK433" t="s">
        <v>138</v>
      </c>
      <c r="CA433" t="s">
        <v>1347</v>
      </c>
      <c r="CB433" t="s">
        <v>261</v>
      </c>
      <c r="CL433" t="s">
        <v>98</v>
      </c>
      <c r="CM433" t="s">
        <v>98</v>
      </c>
      <c r="CO433" s="1">
        <v>39728</v>
      </c>
      <c r="CP433" s="1">
        <v>43595</v>
      </c>
    </row>
    <row r="434" spans="1:94" x14ac:dyDescent="0.25">
      <c r="A434" s="4" t="s">
        <v>1446</v>
      </c>
      <c r="B434" t="str">
        <f xml:space="preserve"> "" &amp; 706411035906</f>
        <v>706411035906</v>
      </c>
      <c r="C434" t="s">
        <v>786</v>
      </c>
      <c r="D434" t="s">
        <v>1447</v>
      </c>
      <c r="F434" t="s">
        <v>135</v>
      </c>
      <c r="G434">
        <v>1</v>
      </c>
      <c r="H434">
        <v>1</v>
      </c>
      <c r="I434" t="s">
        <v>97</v>
      </c>
      <c r="J434" s="32">
        <v>12.75</v>
      </c>
      <c r="K434" s="32">
        <v>38.25</v>
      </c>
      <c r="L434">
        <v>0</v>
      </c>
      <c r="N434">
        <v>0</v>
      </c>
      <c r="S434">
        <v>24</v>
      </c>
      <c r="U434">
        <v>0.75</v>
      </c>
      <c r="V434">
        <v>0.2</v>
      </c>
      <c r="W434">
        <v>1.5</v>
      </c>
      <c r="X434">
        <v>1</v>
      </c>
      <c r="Y434">
        <v>2.63</v>
      </c>
      <c r="Z434">
        <v>24.5</v>
      </c>
      <c r="AA434">
        <v>5.5</v>
      </c>
      <c r="AB434">
        <v>0.21</v>
      </c>
      <c r="AC434">
        <v>1.514</v>
      </c>
      <c r="AK434" t="s">
        <v>98</v>
      </c>
      <c r="AM434" t="s">
        <v>98</v>
      </c>
      <c r="AN434" t="s">
        <v>98</v>
      </c>
      <c r="AO434" t="s">
        <v>98</v>
      </c>
      <c r="AP434" t="s">
        <v>99</v>
      </c>
      <c r="AQ434" t="s">
        <v>102</v>
      </c>
      <c r="AV434" t="s">
        <v>98</v>
      </c>
      <c r="AX434" t="s">
        <v>265</v>
      </c>
      <c r="BF434" t="s">
        <v>1448</v>
      </c>
      <c r="BG434" t="s">
        <v>98</v>
      </c>
      <c r="BH434" t="s">
        <v>98</v>
      </c>
      <c r="BI434" t="s">
        <v>98</v>
      </c>
      <c r="BK434" t="s">
        <v>138</v>
      </c>
      <c r="CA434" t="s">
        <v>1347</v>
      </c>
      <c r="CB434" t="s">
        <v>265</v>
      </c>
      <c r="CL434" t="s">
        <v>98</v>
      </c>
      <c r="CM434" t="s">
        <v>98</v>
      </c>
      <c r="CO434" s="1">
        <v>39728</v>
      </c>
      <c r="CP434" s="1">
        <v>43595</v>
      </c>
    </row>
    <row r="435" spans="1:94" x14ac:dyDescent="0.25">
      <c r="A435" s="4" t="s">
        <v>1449</v>
      </c>
      <c r="B435" t="str">
        <f xml:space="preserve"> "" &amp; 706411025105</f>
        <v>706411025105</v>
      </c>
      <c r="C435" t="s">
        <v>786</v>
      </c>
      <c r="D435" t="s">
        <v>4386</v>
      </c>
      <c r="F435" t="s">
        <v>135</v>
      </c>
      <c r="G435">
        <v>1</v>
      </c>
      <c r="H435">
        <v>1</v>
      </c>
      <c r="I435" t="s">
        <v>97</v>
      </c>
      <c r="J435" s="32">
        <v>12.75</v>
      </c>
      <c r="K435" s="32">
        <v>38.25</v>
      </c>
      <c r="L435">
        <v>0</v>
      </c>
      <c r="N435">
        <v>0</v>
      </c>
      <c r="S435">
        <v>24</v>
      </c>
      <c r="U435">
        <v>0.75</v>
      </c>
      <c r="V435">
        <v>0.2</v>
      </c>
      <c r="W435">
        <v>1.5</v>
      </c>
      <c r="X435">
        <v>1</v>
      </c>
      <c r="Y435">
        <v>2.63</v>
      </c>
      <c r="Z435">
        <v>24.5</v>
      </c>
      <c r="AA435">
        <v>5.5</v>
      </c>
      <c r="AB435">
        <v>0.21</v>
      </c>
      <c r="AC435">
        <v>1.514</v>
      </c>
      <c r="AK435" t="s">
        <v>98</v>
      </c>
      <c r="AM435" t="s">
        <v>98</v>
      </c>
      <c r="AN435" t="s">
        <v>98</v>
      </c>
      <c r="AO435" t="s">
        <v>98</v>
      </c>
      <c r="AP435" t="s">
        <v>99</v>
      </c>
      <c r="AQ435" t="s">
        <v>102</v>
      </c>
      <c r="AV435" t="s">
        <v>98</v>
      </c>
      <c r="AX435" t="s">
        <v>426</v>
      </c>
      <c r="BF435" t="s">
        <v>1450</v>
      </c>
      <c r="BG435" t="s">
        <v>98</v>
      </c>
      <c r="BH435" t="s">
        <v>98</v>
      </c>
      <c r="BI435" t="s">
        <v>98</v>
      </c>
      <c r="BK435" t="s">
        <v>138</v>
      </c>
      <c r="CA435" t="s">
        <v>1347</v>
      </c>
      <c r="CB435" t="s">
        <v>426</v>
      </c>
      <c r="CL435" t="s">
        <v>98</v>
      </c>
      <c r="CM435" t="s">
        <v>98</v>
      </c>
      <c r="CO435" s="1">
        <v>39728</v>
      </c>
      <c r="CP435" s="1">
        <v>43595</v>
      </c>
    </row>
    <row r="436" spans="1:94" x14ac:dyDescent="0.25">
      <c r="A436" s="4" t="s">
        <v>1451</v>
      </c>
      <c r="B436" t="str">
        <f xml:space="preserve"> "" &amp; 706411044649</f>
        <v>706411044649</v>
      </c>
      <c r="C436" t="s">
        <v>786</v>
      </c>
      <c r="D436" t="s">
        <v>1452</v>
      </c>
      <c r="F436" t="s">
        <v>135</v>
      </c>
      <c r="G436">
        <v>1</v>
      </c>
      <c r="H436">
        <v>1</v>
      </c>
      <c r="I436" t="s">
        <v>97</v>
      </c>
      <c r="J436" s="32">
        <v>12.75</v>
      </c>
      <c r="K436" s="32">
        <v>38.25</v>
      </c>
      <c r="L436">
        <v>0</v>
      </c>
      <c r="N436">
        <v>0</v>
      </c>
      <c r="S436">
        <v>24</v>
      </c>
      <c r="U436">
        <v>0.75</v>
      </c>
      <c r="V436">
        <v>0.2</v>
      </c>
      <c r="W436">
        <v>1.5</v>
      </c>
      <c r="X436">
        <v>1</v>
      </c>
      <c r="Y436">
        <v>2.63</v>
      </c>
      <c r="Z436">
        <v>24.5</v>
      </c>
      <c r="AA436">
        <v>5.5</v>
      </c>
      <c r="AB436">
        <v>0.21</v>
      </c>
      <c r="AC436">
        <v>1.514</v>
      </c>
      <c r="AK436" t="s">
        <v>98</v>
      </c>
      <c r="AM436" t="s">
        <v>98</v>
      </c>
      <c r="AN436" t="s">
        <v>98</v>
      </c>
      <c r="AO436" t="s">
        <v>98</v>
      </c>
      <c r="AP436" t="s">
        <v>99</v>
      </c>
      <c r="AQ436" t="s">
        <v>102</v>
      </c>
      <c r="AV436" t="s">
        <v>98</v>
      </c>
      <c r="AX436" t="s">
        <v>430</v>
      </c>
      <c r="BF436" t="s">
        <v>1453</v>
      </c>
      <c r="BG436" t="s">
        <v>98</v>
      </c>
      <c r="BH436" t="s">
        <v>98</v>
      </c>
      <c r="BI436" t="s">
        <v>98</v>
      </c>
      <c r="CB436" t="s">
        <v>430</v>
      </c>
      <c r="CL436" t="s">
        <v>98</v>
      </c>
      <c r="CM436" t="s">
        <v>98</v>
      </c>
      <c r="CP436" s="1">
        <v>43595</v>
      </c>
    </row>
    <row r="437" spans="1:94" x14ac:dyDescent="0.25">
      <c r="A437" s="4" t="s">
        <v>1454</v>
      </c>
      <c r="B437" t="str">
        <f xml:space="preserve"> "" &amp; 706411034763</f>
        <v>706411034763</v>
      </c>
      <c r="C437" t="s">
        <v>786</v>
      </c>
      <c r="D437" t="s">
        <v>1455</v>
      </c>
      <c r="F437" t="s">
        <v>135</v>
      </c>
      <c r="G437">
        <v>1</v>
      </c>
      <c r="H437">
        <v>1</v>
      </c>
      <c r="I437" t="s">
        <v>97</v>
      </c>
      <c r="J437" s="32">
        <v>12.75</v>
      </c>
      <c r="K437" s="32">
        <v>38.25</v>
      </c>
      <c r="L437">
        <v>0</v>
      </c>
      <c r="N437">
        <v>0</v>
      </c>
      <c r="S437">
        <v>24</v>
      </c>
      <c r="U437">
        <v>0.75</v>
      </c>
      <c r="V437">
        <v>0.2</v>
      </c>
      <c r="W437">
        <v>1.5</v>
      </c>
      <c r="X437">
        <v>1</v>
      </c>
      <c r="Y437">
        <v>2.63</v>
      </c>
      <c r="Z437">
        <v>24.5</v>
      </c>
      <c r="AA437">
        <v>5.5</v>
      </c>
      <c r="AB437">
        <v>0.21</v>
      </c>
      <c r="AC437">
        <v>1.514</v>
      </c>
      <c r="AK437" t="s">
        <v>98</v>
      </c>
      <c r="AM437" t="s">
        <v>98</v>
      </c>
      <c r="AN437" t="s">
        <v>98</v>
      </c>
      <c r="AO437" t="s">
        <v>98</v>
      </c>
      <c r="AP437" t="s">
        <v>99</v>
      </c>
      <c r="AQ437" t="s">
        <v>102</v>
      </c>
      <c r="AV437" t="s">
        <v>98</v>
      </c>
      <c r="AX437" t="s">
        <v>1149</v>
      </c>
      <c r="BF437" t="s">
        <v>1456</v>
      </c>
      <c r="BG437" t="s">
        <v>98</v>
      </c>
      <c r="BH437" t="s">
        <v>98</v>
      </c>
      <c r="BI437" t="s">
        <v>98</v>
      </c>
      <c r="BK437" t="s">
        <v>138</v>
      </c>
      <c r="CA437" t="s">
        <v>1347</v>
      </c>
      <c r="CB437" t="s">
        <v>1149</v>
      </c>
      <c r="CL437" t="s">
        <v>98</v>
      </c>
      <c r="CM437" t="s">
        <v>98</v>
      </c>
      <c r="CO437" s="1">
        <v>39728</v>
      </c>
      <c r="CP437" s="1">
        <v>43595</v>
      </c>
    </row>
    <row r="438" spans="1:94" x14ac:dyDescent="0.25">
      <c r="A438" s="4" t="s">
        <v>1457</v>
      </c>
      <c r="B438" t="str">
        <f xml:space="preserve"> "" &amp; 706411043192</f>
        <v>706411043192</v>
      </c>
      <c r="C438" t="s">
        <v>786</v>
      </c>
      <c r="D438" t="s">
        <v>1458</v>
      </c>
      <c r="F438" t="s">
        <v>135</v>
      </c>
      <c r="G438">
        <v>1</v>
      </c>
      <c r="H438">
        <v>1</v>
      </c>
      <c r="I438" t="s">
        <v>97</v>
      </c>
      <c r="J438" s="32">
        <v>12.75</v>
      </c>
      <c r="K438" s="32">
        <v>38.25</v>
      </c>
      <c r="L438">
        <v>0</v>
      </c>
      <c r="N438">
        <v>0</v>
      </c>
      <c r="S438">
        <v>24</v>
      </c>
      <c r="U438">
        <v>0.75</v>
      </c>
      <c r="V438">
        <v>0.2</v>
      </c>
      <c r="W438">
        <v>1.5</v>
      </c>
      <c r="X438">
        <v>1</v>
      </c>
      <c r="Y438">
        <v>2.63</v>
      </c>
      <c r="Z438">
        <v>24.5</v>
      </c>
      <c r="AA438">
        <v>5.5</v>
      </c>
      <c r="AB438">
        <v>0.21</v>
      </c>
      <c r="AC438">
        <v>1.514</v>
      </c>
      <c r="AK438" t="s">
        <v>98</v>
      </c>
      <c r="AM438" t="s">
        <v>98</v>
      </c>
      <c r="AN438" t="s">
        <v>98</v>
      </c>
      <c r="AO438" t="s">
        <v>98</v>
      </c>
      <c r="AP438" t="s">
        <v>99</v>
      </c>
      <c r="AQ438" t="s">
        <v>102</v>
      </c>
      <c r="AV438" t="s">
        <v>98</v>
      </c>
      <c r="AX438" t="s">
        <v>269</v>
      </c>
      <c r="BF438" t="s">
        <v>1459</v>
      </c>
      <c r="BG438" t="s">
        <v>98</v>
      </c>
      <c r="BH438" t="s">
        <v>98</v>
      </c>
      <c r="BI438" t="s">
        <v>98</v>
      </c>
      <c r="BK438" t="s">
        <v>138</v>
      </c>
      <c r="CA438" t="s">
        <v>1347</v>
      </c>
      <c r="CB438" t="s">
        <v>269</v>
      </c>
      <c r="CL438" t="s">
        <v>98</v>
      </c>
      <c r="CM438" t="s">
        <v>98</v>
      </c>
      <c r="CN438" t="s">
        <v>349</v>
      </c>
      <c r="CO438" s="1">
        <v>43406</v>
      </c>
      <c r="CP438" s="1">
        <v>43595</v>
      </c>
    </row>
    <row r="439" spans="1:94" x14ac:dyDescent="0.25">
      <c r="A439" s="4" t="s">
        <v>1460</v>
      </c>
      <c r="B439" t="str">
        <f xml:space="preserve"> "" &amp; 706411041884</f>
        <v>706411041884</v>
      </c>
      <c r="C439" t="s">
        <v>786</v>
      </c>
      <c r="D439" t="s">
        <v>1461</v>
      </c>
      <c r="F439" t="s">
        <v>135</v>
      </c>
      <c r="G439">
        <v>1</v>
      </c>
      <c r="H439">
        <v>1</v>
      </c>
      <c r="I439" t="s">
        <v>97</v>
      </c>
      <c r="J439" s="32">
        <v>12.75</v>
      </c>
      <c r="K439" s="32">
        <v>38.25</v>
      </c>
      <c r="L439">
        <v>0</v>
      </c>
      <c r="N439">
        <v>0</v>
      </c>
      <c r="S439">
        <v>24</v>
      </c>
      <c r="U439">
        <v>0.75</v>
      </c>
      <c r="V439">
        <v>0.2</v>
      </c>
      <c r="W439">
        <v>1.5</v>
      </c>
      <c r="X439">
        <v>1</v>
      </c>
      <c r="Y439">
        <v>2.63</v>
      </c>
      <c r="Z439">
        <v>24.5</v>
      </c>
      <c r="AA439">
        <v>5.5</v>
      </c>
      <c r="AB439">
        <v>0.21</v>
      </c>
      <c r="AC439">
        <v>1.514</v>
      </c>
      <c r="AK439" t="s">
        <v>98</v>
      </c>
      <c r="AM439" t="s">
        <v>98</v>
      </c>
      <c r="AN439" t="s">
        <v>98</v>
      </c>
      <c r="AO439" t="s">
        <v>98</v>
      </c>
      <c r="AP439" t="s">
        <v>99</v>
      </c>
      <c r="AQ439" t="s">
        <v>102</v>
      </c>
      <c r="AV439" t="s">
        <v>98</v>
      </c>
      <c r="AX439" t="s">
        <v>441</v>
      </c>
      <c r="BF439" t="s">
        <v>1462</v>
      </c>
      <c r="BG439" t="s">
        <v>98</v>
      </c>
      <c r="BH439" t="s">
        <v>98</v>
      </c>
      <c r="BI439" t="s">
        <v>98</v>
      </c>
      <c r="CB439" t="s">
        <v>441</v>
      </c>
      <c r="CL439" t="s">
        <v>98</v>
      </c>
      <c r="CM439" t="s">
        <v>98</v>
      </c>
      <c r="CP439" s="1">
        <v>43595</v>
      </c>
    </row>
    <row r="440" spans="1:94" x14ac:dyDescent="0.25">
      <c r="A440" s="4" t="s">
        <v>1463</v>
      </c>
      <c r="B440" t="str">
        <f xml:space="preserve"> "" &amp; 706411029325</f>
        <v>706411029325</v>
      </c>
      <c r="C440" t="s">
        <v>786</v>
      </c>
      <c r="D440" t="s">
        <v>1464</v>
      </c>
      <c r="F440" t="s">
        <v>135</v>
      </c>
      <c r="G440">
        <v>1</v>
      </c>
      <c r="H440">
        <v>1</v>
      </c>
      <c r="I440" t="s">
        <v>97</v>
      </c>
      <c r="J440" s="32">
        <v>12.75</v>
      </c>
      <c r="K440" s="32">
        <v>38.25</v>
      </c>
      <c r="L440">
        <v>0</v>
      </c>
      <c r="N440">
        <v>0</v>
      </c>
      <c r="S440">
        <v>24</v>
      </c>
      <c r="U440">
        <v>0.75</v>
      </c>
      <c r="V440">
        <v>0.2</v>
      </c>
      <c r="W440">
        <v>1.5</v>
      </c>
      <c r="X440">
        <v>1</v>
      </c>
      <c r="Y440">
        <v>2.63</v>
      </c>
      <c r="Z440">
        <v>24.5</v>
      </c>
      <c r="AA440">
        <v>5.5</v>
      </c>
      <c r="AB440">
        <v>0.21</v>
      </c>
      <c r="AC440">
        <v>1.514</v>
      </c>
      <c r="AK440" t="s">
        <v>98</v>
      </c>
      <c r="AM440" t="s">
        <v>98</v>
      </c>
      <c r="AN440" t="s">
        <v>98</v>
      </c>
      <c r="AO440" t="s">
        <v>98</v>
      </c>
      <c r="AP440" t="s">
        <v>99</v>
      </c>
      <c r="AQ440" t="s">
        <v>102</v>
      </c>
      <c r="AV440" t="s">
        <v>98</v>
      </c>
      <c r="AX440" t="s">
        <v>273</v>
      </c>
      <c r="BF440" t="s">
        <v>1465</v>
      </c>
      <c r="BG440" t="s">
        <v>98</v>
      </c>
      <c r="BH440" t="s">
        <v>98</v>
      </c>
      <c r="BI440" t="s">
        <v>98</v>
      </c>
      <c r="BK440" t="s">
        <v>138</v>
      </c>
      <c r="CA440" t="s">
        <v>1347</v>
      </c>
      <c r="CB440" t="s">
        <v>273</v>
      </c>
      <c r="CL440" t="s">
        <v>98</v>
      </c>
      <c r="CM440" t="s">
        <v>98</v>
      </c>
      <c r="CO440" s="1">
        <v>39728</v>
      </c>
      <c r="CP440" s="1">
        <v>43595</v>
      </c>
    </row>
    <row r="441" spans="1:94" x14ac:dyDescent="0.25">
      <c r="A441" s="4" t="s">
        <v>1466</v>
      </c>
      <c r="B441" t="str">
        <f xml:space="preserve"> "" &amp; 706411025808</f>
        <v>706411025808</v>
      </c>
      <c r="C441" t="s">
        <v>786</v>
      </c>
      <c r="D441" t="s">
        <v>1467</v>
      </c>
      <c r="F441" t="s">
        <v>135</v>
      </c>
      <c r="G441">
        <v>1</v>
      </c>
      <c r="H441">
        <v>1</v>
      </c>
      <c r="I441" t="s">
        <v>97</v>
      </c>
      <c r="J441" s="32">
        <v>12.75</v>
      </c>
      <c r="K441" s="32">
        <v>38.25</v>
      </c>
      <c r="L441">
        <v>0</v>
      </c>
      <c r="N441">
        <v>0</v>
      </c>
      <c r="S441">
        <v>24</v>
      </c>
      <c r="U441">
        <v>0.75</v>
      </c>
      <c r="V441">
        <v>0.2</v>
      </c>
      <c r="W441">
        <v>1.5</v>
      </c>
      <c r="X441">
        <v>1</v>
      </c>
      <c r="Y441">
        <v>2.63</v>
      </c>
      <c r="Z441">
        <v>24.5</v>
      </c>
      <c r="AA441">
        <v>5.5</v>
      </c>
      <c r="AB441">
        <v>0.21</v>
      </c>
      <c r="AC441">
        <v>1.514</v>
      </c>
      <c r="AK441" t="s">
        <v>98</v>
      </c>
      <c r="AM441" t="s">
        <v>98</v>
      </c>
      <c r="AN441" t="s">
        <v>98</v>
      </c>
      <c r="AO441" t="s">
        <v>98</v>
      </c>
      <c r="AP441" t="s">
        <v>99</v>
      </c>
      <c r="AQ441" t="s">
        <v>102</v>
      </c>
      <c r="AV441" t="s">
        <v>98</v>
      </c>
      <c r="AX441" t="s">
        <v>277</v>
      </c>
      <c r="BF441" t="s">
        <v>1468</v>
      </c>
      <c r="BG441" t="s">
        <v>98</v>
      </c>
      <c r="BH441" t="s">
        <v>98</v>
      </c>
      <c r="BI441" t="s">
        <v>98</v>
      </c>
      <c r="BK441" t="s">
        <v>138</v>
      </c>
      <c r="CA441" t="s">
        <v>1347</v>
      </c>
      <c r="CB441" t="s">
        <v>277</v>
      </c>
      <c r="CL441" t="s">
        <v>98</v>
      </c>
      <c r="CM441" t="s">
        <v>98</v>
      </c>
      <c r="CO441" s="1">
        <v>39728</v>
      </c>
      <c r="CP441" s="1">
        <v>43595</v>
      </c>
    </row>
    <row r="442" spans="1:94" x14ac:dyDescent="0.25">
      <c r="A442" s="4" t="s">
        <v>1469</v>
      </c>
      <c r="B442" t="str">
        <f xml:space="preserve"> "" &amp; 706411061448</f>
        <v>706411061448</v>
      </c>
      <c r="C442" t="s">
        <v>786</v>
      </c>
      <c r="D442" t="s">
        <v>1470</v>
      </c>
      <c r="F442" t="s">
        <v>135</v>
      </c>
      <c r="G442">
        <v>1</v>
      </c>
      <c r="H442">
        <v>1</v>
      </c>
      <c r="I442" t="s">
        <v>97</v>
      </c>
      <c r="J442" s="32">
        <v>12.75</v>
      </c>
      <c r="K442" s="32">
        <v>38.25</v>
      </c>
      <c r="L442">
        <v>0</v>
      </c>
      <c r="N442">
        <v>0</v>
      </c>
      <c r="S442">
        <v>24</v>
      </c>
      <c r="U442">
        <v>0.75</v>
      </c>
      <c r="V442">
        <v>0.2</v>
      </c>
      <c r="W442">
        <v>1.5</v>
      </c>
      <c r="X442">
        <v>1</v>
      </c>
      <c r="Y442">
        <v>2.63</v>
      </c>
      <c r="Z442">
        <v>24.5</v>
      </c>
      <c r="AA442">
        <v>5.5</v>
      </c>
      <c r="AB442">
        <v>0.21</v>
      </c>
      <c r="AC442">
        <v>1.514</v>
      </c>
      <c r="AK442" t="s">
        <v>98</v>
      </c>
      <c r="AM442" t="s">
        <v>98</v>
      </c>
      <c r="AN442" t="s">
        <v>98</v>
      </c>
      <c r="AO442" t="s">
        <v>98</v>
      </c>
      <c r="AP442" t="s">
        <v>99</v>
      </c>
      <c r="AQ442" t="s">
        <v>102</v>
      </c>
      <c r="AV442" t="s">
        <v>98</v>
      </c>
      <c r="AX442" t="s">
        <v>281</v>
      </c>
      <c r="BF442" t="s">
        <v>1471</v>
      </c>
      <c r="BG442" t="s">
        <v>98</v>
      </c>
      <c r="BH442" t="s">
        <v>98</v>
      </c>
      <c r="BI442" t="s">
        <v>98</v>
      </c>
      <c r="BK442" t="s">
        <v>138</v>
      </c>
      <c r="CB442" t="s">
        <v>281</v>
      </c>
      <c r="CL442" t="s">
        <v>98</v>
      </c>
      <c r="CM442" t="s">
        <v>98</v>
      </c>
      <c r="CN442" t="s">
        <v>349</v>
      </c>
      <c r="CO442" s="1">
        <v>43388</v>
      </c>
      <c r="CP442" s="1">
        <v>43595</v>
      </c>
    </row>
    <row r="443" spans="1:94" x14ac:dyDescent="0.25">
      <c r="A443" s="4" t="s">
        <v>1472</v>
      </c>
      <c r="B443" t="str">
        <f xml:space="preserve"> "" &amp; 706411019906</f>
        <v>706411019906</v>
      </c>
      <c r="C443" t="s">
        <v>786</v>
      </c>
      <c r="D443" t="s">
        <v>4387</v>
      </c>
      <c r="F443" t="s">
        <v>135</v>
      </c>
      <c r="G443">
        <v>1</v>
      </c>
      <c r="H443">
        <v>1</v>
      </c>
      <c r="I443" t="s">
        <v>97</v>
      </c>
      <c r="J443" s="32">
        <v>12.75</v>
      </c>
      <c r="K443" s="32">
        <v>38.25</v>
      </c>
      <c r="L443">
        <v>0</v>
      </c>
      <c r="N443">
        <v>0</v>
      </c>
      <c r="S443">
        <v>24</v>
      </c>
      <c r="U443">
        <v>0.75</v>
      </c>
      <c r="V443">
        <v>0.2</v>
      </c>
      <c r="W443">
        <v>1.5</v>
      </c>
      <c r="X443">
        <v>1</v>
      </c>
      <c r="Y443">
        <v>2.63</v>
      </c>
      <c r="Z443">
        <v>24.5</v>
      </c>
      <c r="AA443">
        <v>5.5</v>
      </c>
      <c r="AB443">
        <v>0.21</v>
      </c>
      <c r="AC443">
        <v>1.514</v>
      </c>
      <c r="AK443" t="s">
        <v>98</v>
      </c>
      <c r="AM443" t="s">
        <v>98</v>
      </c>
      <c r="AN443" t="s">
        <v>98</v>
      </c>
      <c r="AO443" t="s">
        <v>98</v>
      </c>
      <c r="AP443" t="s">
        <v>99</v>
      </c>
      <c r="AQ443" t="s">
        <v>102</v>
      </c>
      <c r="AV443" t="s">
        <v>98</v>
      </c>
      <c r="AX443" t="s">
        <v>284</v>
      </c>
      <c r="BF443" t="s">
        <v>1473</v>
      </c>
      <c r="BG443" t="s">
        <v>98</v>
      </c>
      <c r="BH443" t="s">
        <v>98</v>
      </c>
      <c r="BI443" t="s">
        <v>98</v>
      </c>
      <c r="BK443" t="s">
        <v>138</v>
      </c>
      <c r="CA443" t="s">
        <v>1347</v>
      </c>
      <c r="CB443" t="s">
        <v>284</v>
      </c>
      <c r="CL443" t="s">
        <v>98</v>
      </c>
      <c r="CM443" t="s">
        <v>98</v>
      </c>
      <c r="CO443" s="1">
        <v>39728</v>
      </c>
      <c r="CP443" s="1">
        <v>43595</v>
      </c>
    </row>
    <row r="444" spans="1:94" x14ac:dyDescent="0.25">
      <c r="A444" s="4" t="s">
        <v>1474</v>
      </c>
      <c r="B444" t="str">
        <f xml:space="preserve"> "" &amp; 706411062407</f>
        <v>706411062407</v>
      </c>
      <c r="C444" t="s">
        <v>786</v>
      </c>
      <c r="D444" t="s">
        <v>1475</v>
      </c>
      <c r="F444" t="s">
        <v>135</v>
      </c>
      <c r="G444">
        <v>1</v>
      </c>
      <c r="H444">
        <v>1</v>
      </c>
      <c r="I444" t="s">
        <v>97</v>
      </c>
      <c r="J444" s="32">
        <v>12.75</v>
      </c>
      <c r="K444" s="32">
        <v>38.25</v>
      </c>
      <c r="L444">
        <v>0</v>
      </c>
      <c r="N444">
        <v>0</v>
      </c>
      <c r="S444">
        <v>24</v>
      </c>
      <c r="U444">
        <v>0.75</v>
      </c>
      <c r="V444">
        <v>0.2</v>
      </c>
      <c r="W444">
        <v>1.5</v>
      </c>
      <c r="X444">
        <v>1</v>
      </c>
      <c r="Y444">
        <v>2.63</v>
      </c>
      <c r="Z444">
        <v>24.5</v>
      </c>
      <c r="AA444">
        <v>5.5</v>
      </c>
      <c r="AB444">
        <v>0.21</v>
      </c>
      <c r="AC444">
        <v>1.514</v>
      </c>
      <c r="AK444" t="s">
        <v>98</v>
      </c>
      <c r="AM444" t="s">
        <v>98</v>
      </c>
      <c r="AN444" t="s">
        <v>98</v>
      </c>
      <c r="AO444" t="s">
        <v>98</v>
      </c>
      <c r="AP444" t="s">
        <v>99</v>
      </c>
      <c r="AQ444" t="s">
        <v>102</v>
      </c>
      <c r="AV444" t="s">
        <v>98</v>
      </c>
      <c r="AX444" t="s">
        <v>289</v>
      </c>
      <c r="BF444" t="s">
        <v>1476</v>
      </c>
      <c r="BG444" t="s">
        <v>98</v>
      </c>
      <c r="BH444" t="s">
        <v>98</v>
      </c>
      <c r="BI444" t="s">
        <v>98</v>
      </c>
      <c r="BJ444" t="s">
        <v>291</v>
      </c>
      <c r="BK444" t="s">
        <v>292</v>
      </c>
      <c r="CA444" t="s">
        <v>1347</v>
      </c>
      <c r="CB444" t="s">
        <v>289</v>
      </c>
      <c r="CL444" t="s">
        <v>98</v>
      </c>
      <c r="CM444" t="s">
        <v>98</v>
      </c>
      <c r="CN444" t="s">
        <v>349</v>
      </c>
      <c r="CO444" s="1">
        <v>43571</v>
      </c>
      <c r="CP444" s="1">
        <v>43588</v>
      </c>
    </row>
    <row r="445" spans="1:94" x14ac:dyDescent="0.25">
      <c r="A445" s="4" t="s">
        <v>1477</v>
      </c>
      <c r="B445" t="str">
        <f xml:space="preserve"> "" &amp; 706411300721</f>
        <v>706411300721</v>
      </c>
      <c r="C445" t="s">
        <v>786</v>
      </c>
      <c r="D445" t="s">
        <v>4389</v>
      </c>
      <c r="F445" t="s">
        <v>135</v>
      </c>
      <c r="G445">
        <v>1</v>
      </c>
      <c r="H445">
        <v>1</v>
      </c>
      <c r="I445" t="s">
        <v>97</v>
      </c>
      <c r="J445" s="32">
        <v>12.75</v>
      </c>
      <c r="K445" s="32">
        <v>38.25</v>
      </c>
      <c r="L445">
        <v>0</v>
      </c>
      <c r="N445">
        <v>0</v>
      </c>
      <c r="S445">
        <v>24</v>
      </c>
      <c r="U445">
        <v>0.75</v>
      </c>
      <c r="V445">
        <v>0.2</v>
      </c>
      <c r="W445">
        <v>1.5</v>
      </c>
      <c r="X445">
        <v>1</v>
      </c>
      <c r="Y445">
        <v>2.63</v>
      </c>
      <c r="Z445">
        <v>24.5</v>
      </c>
      <c r="AA445">
        <v>5.5</v>
      </c>
      <c r="AB445">
        <v>0.21</v>
      </c>
      <c r="AC445">
        <v>1.514</v>
      </c>
      <c r="AK445" t="s">
        <v>98</v>
      </c>
      <c r="AM445" t="s">
        <v>98</v>
      </c>
      <c r="AN445" t="s">
        <v>98</v>
      </c>
      <c r="AO445" t="s">
        <v>98</v>
      </c>
      <c r="AP445" t="s">
        <v>99</v>
      </c>
      <c r="AQ445" t="s">
        <v>102</v>
      </c>
      <c r="AV445" t="s">
        <v>98</v>
      </c>
      <c r="AX445" t="s">
        <v>458</v>
      </c>
      <c r="BF445" t="s">
        <v>1478</v>
      </c>
      <c r="BG445" t="s">
        <v>98</v>
      </c>
      <c r="BH445" t="s">
        <v>98</v>
      </c>
      <c r="BI445" t="s">
        <v>98</v>
      </c>
      <c r="BK445" t="s">
        <v>138</v>
      </c>
      <c r="CA445" t="s">
        <v>1347</v>
      </c>
      <c r="CB445" t="s">
        <v>458</v>
      </c>
      <c r="CL445" t="s">
        <v>98</v>
      </c>
      <c r="CM445" t="s">
        <v>98</v>
      </c>
      <c r="CO445" s="1">
        <v>39728</v>
      </c>
      <c r="CP445" s="1">
        <v>43595</v>
      </c>
    </row>
    <row r="446" spans="1:94" x14ac:dyDescent="0.25">
      <c r="A446" s="4" t="s">
        <v>1479</v>
      </c>
      <c r="B446" t="str">
        <f xml:space="preserve"> "" &amp; 706411043208</f>
        <v>706411043208</v>
      </c>
      <c r="C446" t="s">
        <v>786</v>
      </c>
      <c r="D446" t="s">
        <v>1480</v>
      </c>
      <c r="F446" t="s">
        <v>135</v>
      </c>
      <c r="G446">
        <v>1</v>
      </c>
      <c r="H446">
        <v>1</v>
      </c>
      <c r="I446" t="s">
        <v>97</v>
      </c>
      <c r="J446" s="32">
        <v>12.75</v>
      </c>
      <c r="K446" s="32">
        <v>38.25</v>
      </c>
      <c r="L446">
        <v>0</v>
      </c>
      <c r="N446">
        <v>0</v>
      </c>
      <c r="S446">
        <v>24</v>
      </c>
      <c r="U446">
        <v>0.75</v>
      </c>
      <c r="V446">
        <v>0.2</v>
      </c>
      <c r="W446">
        <v>1.5</v>
      </c>
      <c r="X446">
        <v>1</v>
      </c>
      <c r="Y446">
        <v>2.63</v>
      </c>
      <c r="Z446">
        <v>24.5</v>
      </c>
      <c r="AA446">
        <v>5.5</v>
      </c>
      <c r="AB446">
        <v>0.21</v>
      </c>
      <c r="AC446">
        <v>1.514</v>
      </c>
      <c r="AK446" t="s">
        <v>98</v>
      </c>
      <c r="AM446" t="s">
        <v>98</v>
      </c>
      <c r="AN446" t="s">
        <v>98</v>
      </c>
      <c r="AO446" t="s">
        <v>98</v>
      </c>
      <c r="AP446" t="s">
        <v>99</v>
      </c>
      <c r="AQ446" t="s">
        <v>102</v>
      </c>
      <c r="AV446" t="s">
        <v>98</v>
      </c>
      <c r="AX446" t="s">
        <v>295</v>
      </c>
      <c r="BF446" t="s">
        <v>1481</v>
      </c>
      <c r="BG446" t="s">
        <v>98</v>
      </c>
      <c r="BH446" t="s">
        <v>98</v>
      </c>
      <c r="BI446" t="s">
        <v>98</v>
      </c>
      <c r="CB446" t="s">
        <v>295</v>
      </c>
      <c r="CL446" t="s">
        <v>98</v>
      </c>
      <c r="CM446" t="s">
        <v>98</v>
      </c>
      <c r="CP446" s="1">
        <v>43595</v>
      </c>
    </row>
    <row r="447" spans="1:94" x14ac:dyDescent="0.25">
      <c r="A447" s="4" t="s">
        <v>1482</v>
      </c>
      <c r="B447" t="str">
        <f xml:space="preserve"> "" &amp; 706411019913</f>
        <v>706411019913</v>
      </c>
      <c r="C447" t="s">
        <v>786</v>
      </c>
      <c r="D447" t="s">
        <v>4388</v>
      </c>
      <c r="F447" t="s">
        <v>135</v>
      </c>
      <c r="G447">
        <v>1</v>
      </c>
      <c r="H447">
        <v>1</v>
      </c>
      <c r="I447" t="s">
        <v>97</v>
      </c>
      <c r="J447" s="32">
        <v>12.75</v>
      </c>
      <c r="K447" s="32">
        <v>38.25</v>
      </c>
      <c r="L447">
        <v>0</v>
      </c>
      <c r="N447">
        <v>0</v>
      </c>
      <c r="S447">
        <v>24</v>
      </c>
      <c r="U447">
        <v>0.75</v>
      </c>
      <c r="V447">
        <v>0.2</v>
      </c>
      <c r="W447">
        <v>1.5</v>
      </c>
      <c r="X447">
        <v>1</v>
      </c>
      <c r="Y447">
        <v>2.63</v>
      </c>
      <c r="Z447">
        <v>24.5</v>
      </c>
      <c r="AA447">
        <v>5.5</v>
      </c>
      <c r="AB447">
        <v>0.21</v>
      </c>
      <c r="AC447">
        <v>1.514</v>
      </c>
      <c r="AK447" t="s">
        <v>98</v>
      </c>
      <c r="AM447" t="s">
        <v>98</v>
      </c>
      <c r="AN447" t="s">
        <v>98</v>
      </c>
      <c r="AO447" t="s">
        <v>98</v>
      </c>
      <c r="AP447" t="s">
        <v>99</v>
      </c>
      <c r="AQ447" t="s">
        <v>102</v>
      </c>
      <c r="AV447" t="s">
        <v>98</v>
      </c>
      <c r="AX447" t="s">
        <v>298</v>
      </c>
      <c r="BF447" t="s">
        <v>1483</v>
      </c>
      <c r="BG447" t="s">
        <v>98</v>
      </c>
      <c r="BH447" t="s">
        <v>98</v>
      </c>
      <c r="BI447" t="s">
        <v>98</v>
      </c>
      <c r="BK447" t="s">
        <v>138</v>
      </c>
      <c r="CA447" t="s">
        <v>1347</v>
      </c>
      <c r="CB447" t="s">
        <v>298</v>
      </c>
      <c r="CL447" t="s">
        <v>98</v>
      </c>
      <c r="CM447" t="s">
        <v>98</v>
      </c>
      <c r="CO447" s="1">
        <v>39728</v>
      </c>
      <c r="CP447" s="1">
        <v>43595</v>
      </c>
    </row>
    <row r="448" spans="1:94" x14ac:dyDescent="0.25">
      <c r="A448" s="4" t="s">
        <v>1484</v>
      </c>
      <c r="B448" t="str">
        <f xml:space="preserve"> "" &amp; 706411055157</f>
        <v>706411055157</v>
      </c>
      <c r="C448" t="s">
        <v>786</v>
      </c>
      <c r="D448" t="s">
        <v>1485</v>
      </c>
      <c r="F448" t="s">
        <v>135</v>
      </c>
      <c r="G448">
        <v>1</v>
      </c>
      <c r="H448">
        <v>1</v>
      </c>
      <c r="I448" t="s">
        <v>97</v>
      </c>
      <c r="J448" s="32">
        <v>12.75</v>
      </c>
      <c r="K448" s="32">
        <v>38.25</v>
      </c>
      <c r="L448">
        <v>0</v>
      </c>
      <c r="N448">
        <v>0</v>
      </c>
      <c r="S448">
        <v>24</v>
      </c>
      <c r="U448">
        <v>0.75</v>
      </c>
      <c r="V448">
        <v>0.2</v>
      </c>
      <c r="W448">
        <v>1.5</v>
      </c>
      <c r="X448">
        <v>1</v>
      </c>
      <c r="Y448">
        <v>2.63</v>
      </c>
      <c r="Z448">
        <v>24.5</v>
      </c>
      <c r="AA448">
        <v>5.5</v>
      </c>
      <c r="AB448">
        <v>0.21</v>
      </c>
      <c r="AC448">
        <v>15.17</v>
      </c>
      <c r="AK448" t="s">
        <v>98</v>
      </c>
      <c r="AM448" t="s">
        <v>98</v>
      </c>
      <c r="AN448" t="s">
        <v>98</v>
      </c>
      <c r="AO448" t="s">
        <v>98</v>
      </c>
      <c r="AP448" t="s">
        <v>99</v>
      </c>
      <c r="AQ448" t="s">
        <v>102</v>
      </c>
      <c r="AV448" t="s">
        <v>98</v>
      </c>
      <c r="AX448" t="s">
        <v>956</v>
      </c>
      <c r="AZ448" t="s">
        <v>109</v>
      </c>
      <c r="BF448" t="s">
        <v>1486</v>
      </c>
      <c r="BG448" t="s">
        <v>98</v>
      </c>
      <c r="BH448" t="s">
        <v>98</v>
      </c>
      <c r="BI448" t="s">
        <v>98</v>
      </c>
      <c r="BJ448" t="s">
        <v>291</v>
      </c>
      <c r="BK448" t="s">
        <v>292</v>
      </c>
      <c r="CA448" t="s">
        <v>1347</v>
      </c>
      <c r="CB448" t="s">
        <v>956</v>
      </c>
      <c r="CL448" t="s">
        <v>98</v>
      </c>
      <c r="CM448" t="s">
        <v>98</v>
      </c>
      <c r="CN448" t="s">
        <v>349</v>
      </c>
      <c r="CO448" s="1">
        <v>42599</v>
      </c>
      <c r="CP448" s="1">
        <v>43595</v>
      </c>
    </row>
    <row r="449" spans="1:94" x14ac:dyDescent="0.25">
      <c r="A449" s="4" t="s">
        <v>1487</v>
      </c>
      <c r="B449" t="str">
        <f xml:space="preserve"> "" &amp; 706411020391</f>
        <v>706411020391</v>
      </c>
      <c r="C449" t="s">
        <v>786</v>
      </c>
      <c r="D449" t="s">
        <v>1488</v>
      </c>
      <c r="F449" t="s">
        <v>135</v>
      </c>
      <c r="G449">
        <v>1</v>
      </c>
      <c r="H449">
        <v>1</v>
      </c>
      <c r="I449" t="s">
        <v>97</v>
      </c>
      <c r="J449" s="32">
        <v>12.75</v>
      </c>
      <c r="K449" s="32">
        <v>38.25</v>
      </c>
      <c r="L449">
        <v>0</v>
      </c>
      <c r="N449">
        <v>0</v>
      </c>
      <c r="S449">
        <v>24</v>
      </c>
      <c r="U449">
        <v>0.75</v>
      </c>
      <c r="V449">
        <v>0.2</v>
      </c>
      <c r="W449">
        <v>1.5</v>
      </c>
      <c r="X449">
        <v>1</v>
      </c>
      <c r="Y449">
        <v>2.63</v>
      </c>
      <c r="Z449">
        <v>24.5</v>
      </c>
      <c r="AA449">
        <v>5.5</v>
      </c>
      <c r="AB449">
        <v>0.21</v>
      </c>
      <c r="AC449">
        <v>1.514</v>
      </c>
      <c r="AK449" t="s">
        <v>98</v>
      </c>
      <c r="AM449" t="s">
        <v>98</v>
      </c>
      <c r="AN449" t="s">
        <v>98</v>
      </c>
      <c r="AO449" t="s">
        <v>98</v>
      </c>
      <c r="AP449" t="s">
        <v>99</v>
      </c>
      <c r="AQ449" t="s">
        <v>102</v>
      </c>
      <c r="AV449" t="s">
        <v>98</v>
      </c>
      <c r="AX449" t="s">
        <v>306</v>
      </c>
      <c r="BF449" t="s">
        <v>1489</v>
      </c>
      <c r="BG449" t="s">
        <v>98</v>
      </c>
      <c r="BH449" t="s">
        <v>98</v>
      </c>
      <c r="BI449" t="s">
        <v>98</v>
      </c>
      <c r="BK449" t="s">
        <v>138</v>
      </c>
      <c r="CA449" t="s">
        <v>1347</v>
      </c>
      <c r="CB449" t="s">
        <v>306</v>
      </c>
      <c r="CL449" t="s">
        <v>98</v>
      </c>
      <c r="CM449" t="s">
        <v>98</v>
      </c>
      <c r="CO449" s="1">
        <v>39728</v>
      </c>
      <c r="CP449" s="1">
        <v>43595</v>
      </c>
    </row>
    <row r="450" spans="1:94" x14ac:dyDescent="0.25">
      <c r="A450" s="4" t="s">
        <v>1490</v>
      </c>
      <c r="B450" t="str">
        <f xml:space="preserve"> "" &amp; 706411003219</f>
        <v>706411003219</v>
      </c>
      <c r="C450" t="s">
        <v>786</v>
      </c>
      <c r="D450" t="s">
        <v>1491</v>
      </c>
      <c r="F450" t="s">
        <v>135</v>
      </c>
      <c r="G450">
        <v>1</v>
      </c>
      <c r="H450">
        <v>1</v>
      </c>
      <c r="I450" t="s">
        <v>97</v>
      </c>
      <c r="J450" s="32">
        <v>18</v>
      </c>
      <c r="K450" s="32">
        <v>54</v>
      </c>
      <c r="L450">
        <v>0</v>
      </c>
      <c r="N450">
        <v>0</v>
      </c>
      <c r="S450">
        <v>36</v>
      </c>
      <c r="U450">
        <v>0.75</v>
      </c>
      <c r="V450">
        <v>0.2</v>
      </c>
      <c r="W450">
        <v>1.5</v>
      </c>
      <c r="X450">
        <v>1</v>
      </c>
      <c r="Y450">
        <v>2.63</v>
      </c>
      <c r="Z450">
        <v>36.5</v>
      </c>
      <c r="AA450">
        <v>5.5</v>
      </c>
      <c r="AB450">
        <v>0.31</v>
      </c>
      <c r="AC450">
        <v>2.262</v>
      </c>
      <c r="AK450" t="s">
        <v>98</v>
      </c>
      <c r="AM450" t="s">
        <v>98</v>
      </c>
      <c r="AN450" t="s">
        <v>98</v>
      </c>
      <c r="AO450" t="s">
        <v>98</v>
      </c>
      <c r="AP450" t="s">
        <v>99</v>
      </c>
      <c r="AQ450" t="s">
        <v>102</v>
      </c>
      <c r="AV450" t="s">
        <v>98</v>
      </c>
      <c r="AX450" t="s">
        <v>302</v>
      </c>
      <c r="BF450" t="s">
        <v>1492</v>
      </c>
      <c r="BG450" t="s">
        <v>98</v>
      </c>
      <c r="BH450" t="s">
        <v>98</v>
      </c>
      <c r="BI450" t="s">
        <v>98</v>
      </c>
      <c r="CB450" t="s">
        <v>302</v>
      </c>
      <c r="CL450" t="s">
        <v>98</v>
      </c>
      <c r="CM450" t="s">
        <v>98</v>
      </c>
      <c r="CP450" s="1">
        <v>43595</v>
      </c>
    </row>
    <row r="451" spans="1:94" x14ac:dyDescent="0.25">
      <c r="A451" s="4" t="s">
        <v>1493</v>
      </c>
      <c r="B451" t="str">
        <f xml:space="preserve"> "" &amp; 706411050626</f>
        <v>706411050626</v>
      </c>
      <c r="C451" t="s">
        <v>786</v>
      </c>
      <c r="D451" t="s">
        <v>1494</v>
      </c>
      <c r="F451" t="s">
        <v>135</v>
      </c>
      <c r="G451">
        <v>1</v>
      </c>
      <c r="H451">
        <v>1</v>
      </c>
      <c r="I451" t="s">
        <v>97</v>
      </c>
      <c r="J451" s="32">
        <v>18</v>
      </c>
      <c r="K451" s="32">
        <v>54</v>
      </c>
      <c r="L451">
        <v>0</v>
      </c>
      <c r="N451">
        <v>0</v>
      </c>
      <c r="S451">
        <v>36</v>
      </c>
      <c r="U451">
        <v>0.75</v>
      </c>
      <c r="V451">
        <v>0.2</v>
      </c>
      <c r="W451">
        <v>1.5</v>
      </c>
      <c r="X451">
        <v>1</v>
      </c>
      <c r="Y451">
        <v>2.63</v>
      </c>
      <c r="Z451">
        <v>36.5</v>
      </c>
      <c r="AA451">
        <v>5.5</v>
      </c>
      <c r="AB451">
        <v>0.31</v>
      </c>
      <c r="AC451">
        <v>2.262</v>
      </c>
      <c r="AK451" t="s">
        <v>98</v>
      </c>
      <c r="AM451" t="s">
        <v>98</v>
      </c>
      <c r="AN451" t="s">
        <v>98</v>
      </c>
      <c r="AO451" t="s">
        <v>98</v>
      </c>
      <c r="AP451" t="s">
        <v>99</v>
      </c>
      <c r="AQ451" t="s">
        <v>102</v>
      </c>
      <c r="AV451" t="s">
        <v>98</v>
      </c>
      <c r="AX451" t="s">
        <v>311</v>
      </c>
      <c r="BF451" t="s">
        <v>1495</v>
      </c>
      <c r="BG451" t="s">
        <v>98</v>
      </c>
      <c r="BH451" t="s">
        <v>98</v>
      </c>
      <c r="BI451" t="s">
        <v>98</v>
      </c>
      <c r="CB451" t="s">
        <v>311</v>
      </c>
      <c r="CL451" t="s">
        <v>98</v>
      </c>
      <c r="CM451" t="s">
        <v>98</v>
      </c>
      <c r="CP451" s="1">
        <v>43595</v>
      </c>
    </row>
    <row r="452" spans="1:94" x14ac:dyDescent="0.25">
      <c r="A452" s="4" t="s">
        <v>1496</v>
      </c>
      <c r="B452" t="str">
        <f xml:space="preserve"> "" &amp; 706411019920</f>
        <v>706411019920</v>
      </c>
      <c r="C452" t="s">
        <v>786</v>
      </c>
      <c r="D452" t="s">
        <v>4391</v>
      </c>
      <c r="F452" t="s">
        <v>135</v>
      </c>
      <c r="G452">
        <v>1</v>
      </c>
      <c r="H452">
        <v>1</v>
      </c>
      <c r="I452" t="s">
        <v>97</v>
      </c>
      <c r="J452" s="32">
        <v>18</v>
      </c>
      <c r="K452" s="32">
        <v>54</v>
      </c>
      <c r="L452">
        <v>0</v>
      </c>
      <c r="N452">
        <v>0</v>
      </c>
      <c r="S452">
        <v>36</v>
      </c>
      <c r="U452">
        <v>0.75</v>
      </c>
      <c r="V452">
        <v>0.2</v>
      </c>
      <c r="W452">
        <v>1.5</v>
      </c>
      <c r="X452">
        <v>1</v>
      </c>
      <c r="Y452">
        <v>2.63</v>
      </c>
      <c r="Z452">
        <v>36.5</v>
      </c>
      <c r="AA452">
        <v>5.5</v>
      </c>
      <c r="AB452">
        <v>0.31</v>
      </c>
      <c r="AC452">
        <v>2.262</v>
      </c>
      <c r="AK452" t="s">
        <v>98</v>
      </c>
      <c r="AM452" t="s">
        <v>98</v>
      </c>
      <c r="AN452" t="s">
        <v>98</v>
      </c>
      <c r="AO452" t="s">
        <v>98</v>
      </c>
      <c r="AP452" t="s">
        <v>99</v>
      </c>
      <c r="AQ452" t="s">
        <v>102</v>
      </c>
      <c r="AV452" t="s">
        <v>98</v>
      </c>
      <c r="AX452" t="s">
        <v>136</v>
      </c>
      <c r="BF452" t="s">
        <v>1497</v>
      </c>
      <c r="BG452" t="s">
        <v>98</v>
      </c>
      <c r="BH452" t="s">
        <v>98</v>
      </c>
      <c r="BI452" t="s">
        <v>98</v>
      </c>
      <c r="BK452" t="s">
        <v>138</v>
      </c>
      <c r="CA452" t="s">
        <v>1498</v>
      </c>
      <c r="CB452" t="s">
        <v>136</v>
      </c>
      <c r="CL452" t="s">
        <v>98</v>
      </c>
      <c r="CM452" t="s">
        <v>98</v>
      </c>
      <c r="CO452" s="1">
        <v>39728</v>
      </c>
      <c r="CP452" s="1">
        <v>43595</v>
      </c>
    </row>
    <row r="453" spans="1:94" x14ac:dyDescent="0.25">
      <c r="A453" s="4" t="s">
        <v>1499</v>
      </c>
      <c r="B453" t="str">
        <f xml:space="preserve"> "" &amp; 706411020520</f>
        <v>706411020520</v>
      </c>
      <c r="C453" t="s">
        <v>786</v>
      </c>
      <c r="D453" t="s">
        <v>4390</v>
      </c>
      <c r="F453" t="s">
        <v>135</v>
      </c>
      <c r="G453">
        <v>1</v>
      </c>
      <c r="H453">
        <v>1</v>
      </c>
      <c r="I453" t="s">
        <v>97</v>
      </c>
      <c r="J453" s="32">
        <v>18</v>
      </c>
      <c r="K453" s="32">
        <v>54</v>
      </c>
      <c r="L453">
        <v>0</v>
      </c>
      <c r="N453">
        <v>0</v>
      </c>
      <c r="S453">
        <v>36</v>
      </c>
      <c r="U453">
        <v>0.75</v>
      </c>
      <c r="V453">
        <v>0.2</v>
      </c>
      <c r="W453">
        <v>1.5</v>
      </c>
      <c r="X453">
        <v>1</v>
      </c>
      <c r="Y453">
        <v>2.63</v>
      </c>
      <c r="Z453">
        <v>36.5</v>
      </c>
      <c r="AA453">
        <v>5.5</v>
      </c>
      <c r="AB453">
        <v>0.31</v>
      </c>
      <c r="AC453">
        <v>2.262</v>
      </c>
      <c r="AK453" t="s">
        <v>98</v>
      </c>
      <c r="AM453" t="s">
        <v>98</v>
      </c>
      <c r="AN453" t="s">
        <v>98</v>
      </c>
      <c r="AO453" t="s">
        <v>98</v>
      </c>
      <c r="AP453" t="s">
        <v>99</v>
      </c>
      <c r="AQ453" t="s">
        <v>102</v>
      </c>
      <c r="AV453" t="s">
        <v>98</v>
      </c>
      <c r="AX453" t="s">
        <v>317</v>
      </c>
      <c r="BF453" t="s">
        <v>1500</v>
      </c>
      <c r="BG453" t="s">
        <v>98</v>
      </c>
      <c r="BH453" t="s">
        <v>98</v>
      </c>
      <c r="BI453" t="s">
        <v>98</v>
      </c>
      <c r="CB453" t="s">
        <v>317</v>
      </c>
      <c r="CL453" t="s">
        <v>98</v>
      </c>
      <c r="CM453" t="s">
        <v>98</v>
      </c>
      <c r="CP453" s="1">
        <v>43595</v>
      </c>
    </row>
    <row r="454" spans="1:94" x14ac:dyDescent="0.25">
      <c r="A454" s="4" t="s">
        <v>1501</v>
      </c>
      <c r="B454" t="str">
        <f xml:space="preserve"> "" &amp; 706411035401</f>
        <v>706411035401</v>
      </c>
      <c r="C454" t="s">
        <v>786</v>
      </c>
      <c r="D454" t="s">
        <v>1502</v>
      </c>
      <c r="F454" t="s">
        <v>135</v>
      </c>
      <c r="G454">
        <v>1</v>
      </c>
      <c r="H454">
        <v>1</v>
      </c>
      <c r="I454" t="s">
        <v>97</v>
      </c>
      <c r="J454" s="32">
        <v>18</v>
      </c>
      <c r="K454" s="32">
        <v>54</v>
      </c>
      <c r="L454">
        <v>0</v>
      </c>
      <c r="N454">
        <v>0</v>
      </c>
      <c r="S454">
        <v>36</v>
      </c>
      <c r="U454">
        <v>0.75</v>
      </c>
      <c r="V454">
        <v>0.2</v>
      </c>
      <c r="W454">
        <v>1.5</v>
      </c>
      <c r="X454">
        <v>1</v>
      </c>
      <c r="Y454">
        <v>2.63</v>
      </c>
      <c r="Z454">
        <v>36.5</v>
      </c>
      <c r="AA454">
        <v>5.5</v>
      </c>
      <c r="AB454">
        <v>0.31</v>
      </c>
      <c r="AC454">
        <v>2.262</v>
      </c>
      <c r="AK454" t="s">
        <v>98</v>
      </c>
      <c r="AM454" t="s">
        <v>98</v>
      </c>
      <c r="AN454" t="s">
        <v>98</v>
      </c>
      <c r="AO454" t="s">
        <v>98</v>
      </c>
      <c r="AP454" t="s">
        <v>99</v>
      </c>
      <c r="AQ454" t="s">
        <v>102</v>
      </c>
      <c r="AV454" t="s">
        <v>98</v>
      </c>
      <c r="AX454" t="s">
        <v>1040</v>
      </c>
      <c r="BF454" t="s">
        <v>1503</v>
      </c>
      <c r="BG454" t="s">
        <v>98</v>
      </c>
      <c r="BH454" t="s">
        <v>98</v>
      </c>
      <c r="BI454" t="s">
        <v>98</v>
      </c>
      <c r="BK454" t="s">
        <v>138</v>
      </c>
      <c r="CA454" t="s">
        <v>1498</v>
      </c>
      <c r="CL454" t="s">
        <v>98</v>
      </c>
      <c r="CM454" t="s">
        <v>98</v>
      </c>
      <c r="CO454" s="1">
        <v>39728</v>
      </c>
      <c r="CP454" s="1">
        <v>43595</v>
      </c>
    </row>
    <row r="455" spans="1:94" x14ac:dyDescent="0.25">
      <c r="A455" s="4" t="s">
        <v>1504</v>
      </c>
      <c r="B455" t="str">
        <f xml:space="preserve"> "" &amp; 706411025440</f>
        <v>706411025440</v>
      </c>
      <c r="C455" t="s">
        <v>786</v>
      </c>
      <c r="D455" t="s">
        <v>1505</v>
      </c>
      <c r="F455" t="s">
        <v>135</v>
      </c>
      <c r="G455">
        <v>1</v>
      </c>
      <c r="H455">
        <v>1</v>
      </c>
      <c r="I455" t="s">
        <v>97</v>
      </c>
      <c r="J455" s="32">
        <v>18</v>
      </c>
      <c r="K455" s="32">
        <v>54</v>
      </c>
      <c r="L455">
        <v>0</v>
      </c>
      <c r="N455">
        <v>0</v>
      </c>
      <c r="S455">
        <v>36</v>
      </c>
      <c r="U455">
        <v>0.75</v>
      </c>
      <c r="V455">
        <v>0.2</v>
      </c>
      <c r="W455">
        <v>1.5</v>
      </c>
      <c r="X455">
        <v>1</v>
      </c>
      <c r="Y455">
        <v>2.63</v>
      </c>
      <c r="Z455">
        <v>36.5</v>
      </c>
      <c r="AA455">
        <v>5.5</v>
      </c>
      <c r="AB455">
        <v>0.31</v>
      </c>
      <c r="AC455">
        <v>2.262</v>
      </c>
      <c r="AK455" t="s">
        <v>98</v>
      </c>
      <c r="AM455" t="s">
        <v>98</v>
      </c>
      <c r="AN455" t="s">
        <v>98</v>
      </c>
      <c r="AO455" t="s">
        <v>98</v>
      </c>
      <c r="AP455" t="s">
        <v>99</v>
      </c>
      <c r="AQ455" t="s">
        <v>102</v>
      </c>
      <c r="AV455" t="s">
        <v>98</v>
      </c>
      <c r="AX455" t="s">
        <v>146</v>
      </c>
      <c r="BF455" t="s">
        <v>1506</v>
      </c>
      <c r="BG455" t="s">
        <v>98</v>
      </c>
      <c r="BH455" t="s">
        <v>98</v>
      </c>
      <c r="BI455" t="s">
        <v>98</v>
      </c>
      <c r="BK455" t="s">
        <v>138</v>
      </c>
      <c r="CA455" t="s">
        <v>1498</v>
      </c>
      <c r="CB455" t="s">
        <v>146</v>
      </c>
      <c r="CL455" t="s">
        <v>98</v>
      </c>
      <c r="CM455" t="s">
        <v>98</v>
      </c>
      <c r="CO455" s="1">
        <v>39728</v>
      </c>
      <c r="CP455" s="1">
        <v>43595</v>
      </c>
    </row>
    <row r="456" spans="1:94" x14ac:dyDescent="0.25">
      <c r="A456" s="4" t="s">
        <v>1507</v>
      </c>
      <c r="B456" t="str">
        <f xml:space="preserve"> "" &amp; 706411003226</f>
        <v>706411003226</v>
      </c>
      <c r="C456" t="s">
        <v>786</v>
      </c>
      <c r="D456" t="s">
        <v>1508</v>
      </c>
      <c r="F456" t="s">
        <v>135</v>
      </c>
      <c r="G456">
        <v>1</v>
      </c>
      <c r="H456">
        <v>1</v>
      </c>
      <c r="I456" t="s">
        <v>97</v>
      </c>
      <c r="J456" s="32">
        <v>18</v>
      </c>
      <c r="K456" s="32">
        <v>54</v>
      </c>
      <c r="L456">
        <v>0</v>
      </c>
      <c r="N456">
        <v>0</v>
      </c>
      <c r="S456">
        <v>36</v>
      </c>
      <c r="U456">
        <v>0.75</v>
      </c>
      <c r="V456">
        <v>0.2</v>
      </c>
      <c r="W456">
        <v>1.5</v>
      </c>
      <c r="X456">
        <v>1</v>
      </c>
      <c r="Y456">
        <v>2.63</v>
      </c>
      <c r="Z456">
        <v>36.5</v>
      </c>
      <c r="AA456">
        <v>5.5</v>
      </c>
      <c r="AB456">
        <v>0.31</v>
      </c>
      <c r="AC456">
        <v>2.262</v>
      </c>
      <c r="AK456" t="s">
        <v>98</v>
      </c>
      <c r="AM456" t="s">
        <v>98</v>
      </c>
      <c r="AN456" t="s">
        <v>98</v>
      </c>
      <c r="AO456" t="s">
        <v>98</v>
      </c>
      <c r="AP456" t="s">
        <v>99</v>
      </c>
      <c r="AQ456" t="s">
        <v>102</v>
      </c>
      <c r="AV456" t="s">
        <v>98</v>
      </c>
      <c r="AX456" t="s">
        <v>150</v>
      </c>
      <c r="BF456" t="s">
        <v>1509</v>
      </c>
      <c r="BG456" t="s">
        <v>98</v>
      </c>
      <c r="BH456" t="s">
        <v>98</v>
      </c>
      <c r="BI456" t="s">
        <v>98</v>
      </c>
      <c r="BK456" t="s">
        <v>138</v>
      </c>
      <c r="CA456" t="s">
        <v>1498</v>
      </c>
      <c r="CB456" t="s">
        <v>150</v>
      </c>
      <c r="CL456" t="s">
        <v>98</v>
      </c>
      <c r="CM456" t="s">
        <v>98</v>
      </c>
      <c r="CO456" s="1">
        <v>39728</v>
      </c>
      <c r="CP456" s="1">
        <v>43595</v>
      </c>
    </row>
    <row r="457" spans="1:94" x14ac:dyDescent="0.25">
      <c r="A457" s="4" t="s">
        <v>1510</v>
      </c>
      <c r="B457" t="str">
        <f xml:space="preserve"> "" &amp; 706411056819</f>
        <v>706411056819</v>
      </c>
      <c r="C457" t="s">
        <v>786</v>
      </c>
      <c r="D457" t="s">
        <v>1511</v>
      </c>
      <c r="F457" t="s">
        <v>135</v>
      </c>
      <c r="G457">
        <v>1</v>
      </c>
      <c r="H457">
        <v>1</v>
      </c>
      <c r="I457" t="s">
        <v>97</v>
      </c>
      <c r="J457" s="32">
        <v>18</v>
      </c>
      <c r="K457" s="32">
        <v>54</v>
      </c>
      <c r="L457">
        <v>0</v>
      </c>
      <c r="N457">
        <v>0</v>
      </c>
      <c r="S457">
        <v>36</v>
      </c>
      <c r="U457">
        <v>0.75</v>
      </c>
      <c r="V457">
        <v>0.2</v>
      </c>
      <c r="W457">
        <v>1.5</v>
      </c>
      <c r="X457">
        <v>1</v>
      </c>
      <c r="Y457">
        <v>2.63</v>
      </c>
      <c r="Z457">
        <v>36.5</v>
      </c>
      <c r="AA457">
        <v>5.5</v>
      </c>
      <c r="AB457">
        <v>0.31</v>
      </c>
      <c r="AC457">
        <v>2.262</v>
      </c>
      <c r="AK457" t="s">
        <v>98</v>
      </c>
      <c r="AM457" t="s">
        <v>98</v>
      </c>
      <c r="AN457" t="s">
        <v>98</v>
      </c>
      <c r="AO457" t="s">
        <v>98</v>
      </c>
      <c r="AP457" t="s">
        <v>99</v>
      </c>
      <c r="AQ457" t="s">
        <v>102</v>
      </c>
      <c r="AV457" t="s">
        <v>98</v>
      </c>
      <c r="AX457" t="s">
        <v>154</v>
      </c>
      <c r="BF457" t="s">
        <v>1512</v>
      </c>
      <c r="BG457" t="s">
        <v>98</v>
      </c>
      <c r="BH457" t="s">
        <v>98</v>
      </c>
      <c r="BI457" t="s">
        <v>98</v>
      </c>
      <c r="CB457" t="s">
        <v>154</v>
      </c>
      <c r="CL457" t="s">
        <v>98</v>
      </c>
      <c r="CM457" t="s">
        <v>98</v>
      </c>
      <c r="CN457" t="s">
        <v>349</v>
      </c>
      <c r="CO457" s="1">
        <v>43147</v>
      </c>
      <c r="CP457" s="1">
        <v>43595</v>
      </c>
    </row>
    <row r="458" spans="1:94" x14ac:dyDescent="0.25">
      <c r="A458" s="4" t="s">
        <v>1513</v>
      </c>
      <c r="B458" t="str">
        <f xml:space="preserve"> "" &amp; 706411027451</f>
        <v>706411027451</v>
      </c>
      <c r="C458" t="s">
        <v>786</v>
      </c>
      <c r="D458" t="s">
        <v>1514</v>
      </c>
      <c r="F458" t="s">
        <v>135</v>
      </c>
      <c r="G458">
        <v>1</v>
      </c>
      <c r="H458">
        <v>1</v>
      </c>
      <c r="I458" t="s">
        <v>97</v>
      </c>
      <c r="J458" s="32">
        <v>18</v>
      </c>
      <c r="K458" s="32">
        <v>54</v>
      </c>
      <c r="L458">
        <v>0</v>
      </c>
      <c r="N458">
        <v>0</v>
      </c>
      <c r="S458">
        <v>36</v>
      </c>
      <c r="U458">
        <v>0.75</v>
      </c>
      <c r="V458">
        <v>0.2</v>
      </c>
      <c r="W458">
        <v>1.5</v>
      </c>
      <c r="X458">
        <v>1</v>
      </c>
      <c r="Y458">
        <v>2.63</v>
      </c>
      <c r="Z458">
        <v>36.5</v>
      </c>
      <c r="AA458">
        <v>5.5</v>
      </c>
      <c r="AB458">
        <v>0.31</v>
      </c>
      <c r="AC458">
        <v>2.262</v>
      </c>
      <c r="AK458" t="s">
        <v>98</v>
      </c>
      <c r="AM458" t="s">
        <v>98</v>
      </c>
      <c r="AN458" t="s">
        <v>98</v>
      </c>
      <c r="AO458" t="s">
        <v>98</v>
      </c>
      <c r="AP458" t="s">
        <v>99</v>
      </c>
      <c r="AQ458" t="s">
        <v>102</v>
      </c>
      <c r="AV458" t="s">
        <v>98</v>
      </c>
      <c r="AX458" t="s">
        <v>159</v>
      </c>
      <c r="BF458" t="s">
        <v>1515</v>
      </c>
      <c r="BG458" t="s">
        <v>98</v>
      </c>
      <c r="BH458" t="s">
        <v>98</v>
      </c>
      <c r="BI458" t="s">
        <v>98</v>
      </c>
      <c r="BK458" t="s">
        <v>138</v>
      </c>
      <c r="CA458" t="s">
        <v>1498</v>
      </c>
      <c r="CB458" t="s">
        <v>159</v>
      </c>
      <c r="CL458" t="s">
        <v>98</v>
      </c>
      <c r="CM458" t="s">
        <v>98</v>
      </c>
      <c r="CO458" s="1">
        <v>39728</v>
      </c>
      <c r="CP458" s="1">
        <v>43595</v>
      </c>
    </row>
    <row r="459" spans="1:94" x14ac:dyDescent="0.25">
      <c r="A459" s="4" t="s">
        <v>1516</v>
      </c>
      <c r="B459" t="str">
        <f xml:space="preserve"> "" &amp; 706411025594</f>
        <v>706411025594</v>
      </c>
      <c r="C459" t="s">
        <v>786</v>
      </c>
      <c r="D459" t="s">
        <v>1517</v>
      </c>
      <c r="F459" t="s">
        <v>135</v>
      </c>
      <c r="G459">
        <v>1</v>
      </c>
      <c r="H459">
        <v>1</v>
      </c>
      <c r="I459" t="s">
        <v>97</v>
      </c>
      <c r="J459" s="32">
        <v>18</v>
      </c>
      <c r="K459" s="32">
        <v>54</v>
      </c>
      <c r="L459">
        <v>0</v>
      </c>
      <c r="N459">
        <v>0</v>
      </c>
      <c r="S459">
        <v>36</v>
      </c>
      <c r="U459">
        <v>0.75</v>
      </c>
      <c r="V459">
        <v>0.2</v>
      </c>
      <c r="W459">
        <v>1.5</v>
      </c>
      <c r="X459">
        <v>1</v>
      </c>
      <c r="Y459">
        <v>2.63</v>
      </c>
      <c r="Z459">
        <v>36.5</v>
      </c>
      <c r="AA459">
        <v>5.5</v>
      </c>
      <c r="AB459">
        <v>0.31</v>
      </c>
      <c r="AC459">
        <v>2.262</v>
      </c>
      <c r="AK459" t="s">
        <v>98</v>
      </c>
      <c r="AM459" t="s">
        <v>98</v>
      </c>
      <c r="AN459" t="s">
        <v>98</v>
      </c>
      <c r="AO459" t="s">
        <v>98</v>
      </c>
      <c r="AP459" t="s">
        <v>99</v>
      </c>
      <c r="AQ459" t="s">
        <v>102</v>
      </c>
      <c r="AV459" t="s">
        <v>98</v>
      </c>
      <c r="AX459" t="s">
        <v>163</v>
      </c>
      <c r="BF459" t="s">
        <v>1518</v>
      </c>
      <c r="BG459" t="s">
        <v>98</v>
      </c>
      <c r="BH459" t="s">
        <v>98</v>
      </c>
      <c r="BI459" t="s">
        <v>98</v>
      </c>
      <c r="BK459" t="s">
        <v>138</v>
      </c>
      <c r="CA459" t="s">
        <v>1498</v>
      </c>
      <c r="CB459" t="s">
        <v>163</v>
      </c>
      <c r="CL459" t="s">
        <v>98</v>
      </c>
      <c r="CM459" t="s">
        <v>98</v>
      </c>
      <c r="CO459" s="1">
        <v>39728</v>
      </c>
      <c r="CP459" s="1">
        <v>43595</v>
      </c>
    </row>
    <row r="460" spans="1:94" x14ac:dyDescent="0.25">
      <c r="A460" s="4" t="s">
        <v>1519</v>
      </c>
      <c r="B460" t="str">
        <f xml:space="preserve"> "" &amp; 706411044588</f>
        <v>706411044588</v>
      </c>
      <c r="C460" t="s">
        <v>786</v>
      </c>
      <c r="D460" t="s">
        <v>1520</v>
      </c>
      <c r="F460" t="s">
        <v>135</v>
      </c>
      <c r="G460">
        <v>1</v>
      </c>
      <c r="H460">
        <v>1</v>
      </c>
      <c r="I460" t="s">
        <v>97</v>
      </c>
      <c r="J460" s="32">
        <v>18</v>
      </c>
      <c r="K460" s="32">
        <v>54</v>
      </c>
      <c r="L460">
        <v>0</v>
      </c>
      <c r="N460">
        <v>0</v>
      </c>
      <c r="S460">
        <v>36</v>
      </c>
      <c r="U460">
        <v>0.75</v>
      </c>
      <c r="V460">
        <v>0.2</v>
      </c>
      <c r="W460">
        <v>1.5</v>
      </c>
      <c r="X460">
        <v>1</v>
      </c>
      <c r="Y460">
        <v>2.63</v>
      </c>
      <c r="Z460">
        <v>36.5</v>
      </c>
      <c r="AA460">
        <v>5.5</v>
      </c>
      <c r="AB460">
        <v>0.31</v>
      </c>
      <c r="AC460">
        <v>2.262</v>
      </c>
      <c r="AK460" t="s">
        <v>98</v>
      </c>
      <c r="AM460" t="s">
        <v>98</v>
      </c>
      <c r="AN460" t="s">
        <v>98</v>
      </c>
      <c r="AO460" t="s">
        <v>98</v>
      </c>
      <c r="AP460" t="s">
        <v>99</v>
      </c>
      <c r="AQ460" t="s">
        <v>102</v>
      </c>
      <c r="AV460" t="s">
        <v>98</v>
      </c>
      <c r="AX460" t="s">
        <v>167</v>
      </c>
      <c r="BF460" t="s">
        <v>1521</v>
      </c>
      <c r="BG460" t="s">
        <v>98</v>
      </c>
      <c r="BH460" t="s">
        <v>98</v>
      </c>
      <c r="BI460" t="s">
        <v>98</v>
      </c>
      <c r="CB460" t="s">
        <v>167</v>
      </c>
      <c r="CL460" t="s">
        <v>98</v>
      </c>
      <c r="CM460" t="s">
        <v>98</v>
      </c>
      <c r="CP460" s="1">
        <v>43595</v>
      </c>
    </row>
    <row r="461" spans="1:94" x14ac:dyDescent="0.25">
      <c r="A461" s="4" t="s">
        <v>1522</v>
      </c>
      <c r="B461" t="str">
        <f xml:space="preserve"> "" &amp; 706411043215</f>
        <v>706411043215</v>
      </c>
      <c r="C461" t="s">
        <v>786</v>
      </c>
      <c r="D461" t="s">
        <v>1523</v>
      </c>
      <c r="F461" t="s">
        <v>135</v>
      </c>
      <c r="G461">
        <v>1</v>
      </c>
      <c r="H461">
        <v>1</v>
      </c>
      <c r="I461" t="s">
        <v>97</v>
      </c>
      <c r="J461" s="32">
        <v>18</v>
      </c>
      <c r="K461" s="32">
        <v>54</v>
      </c>
      <c r="L461">
        <v>0</v>
      </c>
      <c r="N461">
        <v>0</v>
      </c>
      <c r="S461">
        <v>36</v>
      </c>
      <c r="U461">
        <v>0.75</v>
      </c>
      <c r="V461">
        <v>0.2</v>
      </c>
      <c r="W461">
        <v>1.5</v>
      </c>
      <c r="X461">
        <v>1</v>
      </c>
      <c r="Y461">
        <v>2.63</v>
      </c>
      <c r="Z461">
        <v>36.5</v>
      </c>
      <c r="AA461">
        <v>5.5</v>
      </c>
      <c r="AB461">
        <v>0.31</v>
      </c>
      <c r="AC461">
        <v>2.262</v>
      </c>
      <c r="AK461" t="s">
        <v>98</v>
      </c>
      <c r="AM461" t="s">
        <v>98</v>
      </c>
      <c r="AN461" t="s">
        <v>98</v>
      </c>
      <c r="AO461" t="s">
        <v>98</v>
      </c>
      <c r="AP461" t="s">
        <v>99</v>
      </c>
      <c r="AQ461" t="s">
        <v>102</v>
      </c>
      <c r="AV461" t="s">
        <v>98</v>
      </c>
      <c r="AX461" t="s">
        <v>171</v>
      </c>
      <c r="BF461" t="s">
        <v>1524</v>
      </c>
      <c r="BG461" t="s">
        <v>98</v>
      </c>
      <c r="BH461" t="s">
        <v>98</v>
      </c>
      <c r="BI461" t="s">
        <v>98</v>
      </c>
      <c r="CB461" t="s">
        <v>171</v>
      </c>
      <c r="CL461" t="s">
        <v>98</v>
      </c>
      <c r="CM461" t="s">
        <v>98</v>
      </c>
      <c r="CP461" s="1">
        <v>43595</v>
      </c>
    </row>
    <row r="462" spans="1:94" x14ac:dyDescent="0.25">
      <c r="A462" s="4" t="s">
        <v>1525</v>
      </c>
      <c r="B462" t="str">
        <f xml:space="preserve"> "" &amp; 706411035494</f>
        <v>706411035494</v>
      </c>
      <c r="C462" t="s">
        <v>786</v>
      </c>
      <c r="D462" t="s">
        <v>1526</v>
      </c>
      <c r="F462" t="s">
        <v>135</v>
      </c>
      <c r="G462">
        <v>1</v>
      </c>
      <c r="H462">
        <v>1</v>
      </c>
      <c r="I462" t="s">
        <v>97</v>
      </c>
      <c r="J462" s="32">
        <v>18</v>
      </c>
      <c r="K462" s="32">
        <v>54</v>
      </c>
      <c r="L462">
        <v>0</v>
      </c>
      <c r="N462">
        <v>0</v>
      </c>
      <c r="S462">
        <v>36</v>
      </c>
      <c r="U462">
        <v>0.75</v>
      </c>
      <c r="V462">
        <v>0.2</v>
      </c>
      <c r="W462">
        <v>1.5</v>
      </c>
      <c r="X462">
        <v>1</v>
      </c>
      <c r="Y462">
        <v>2.63</v>
      </c>
      <c r="Z462">
        <v>36.5</v>
      </c>
      <c r="AA462">
        <v>5.5</v>
      </c>
      <c r="AB462">
        <v>0.31</v>
      </c>
      <c r="AC462">
        <v>2.262</v>
      </c>
      <c r="AK462" t="s">
        <v>98</v>
      </c>
      <c r="AM462" t="s">
        <v>98</v>
      </c>
      <c r="AN462" t="s">
        <v>98</v>
      </c>
      <c r="AO462" t="s">
        <v>98</v>
      </c>
      <c r="AP462" t="s">
        <v>99</v>
      </c>
      <c r="AQ462" t="s">
        <v>102</v>
      </c>
      <c r="AV462" t="s">
        <v>98</v>
      </c>
      <c r="AX462" t="s">
        <v>175</v>
      </c>
      <c r="BF462" t="s">
        <v>1527</v>
      </c>
      <c r="BG462" t="s">
        <v>98</v>
      </c>
      <c r="BH462" t="s">
        <v>98</v>
      </c>
      <c r="BI462" t="s">
        <v>98</v>
      </c>
      <c r="BK462" t="s">
        <v>138</v>
      </c>
      <c r="CA462" t="s">
        <v>1498</v>
      </c>
      <c r="CB462" t="s">
        <v>175</v>
      </c>
      <c r="CL462" t="s">
        <v>98</v>
      </c>
      <c r="CM462" t="s">
        <v>98</v>
      </c>
      <c r="CO462" s="1">
        <v>39728</v>
      </c>
      <c r="CP462" s="1">
        <v>43595</v>
      </c>
    </row>
    <row r="463" spans="1:94" x14ac:dyDescent="0.25">
      <c r="A463" s="4" t="s">
        <v>1528</v>
      </c>
      <c r="B463" t="str">
        <f xml:space="preserve"> "" &amp; 706411061127</f>
        <v>706411061127</v>
      </c>
      <c r="C463" t="s">
        <v>786</v>
      </c>
      <c r="D463" t="s">
        <v>1529</v>
      </c>
      <c r="F463" t="s">
        <v>135</v>
      </c>
      <c r="G463">
        <v>1</v>
      </c>
      <c r="H463">
        <v>1</v>
      </c>
      <c r="I463" t="s">
        <v>97</v>
      </c>
      <c r="J463" s="32">
        <v>18</v>
      </c>
      <c r="K463" s="32">
        <v>54</v>
      </c>
      <c r="L463">
        <v>0</v>
      </c>
      <c r="N463">
        <v>0</v>
      </c>
      <c r="S463">
        <v>36</v>
      </c>
      <c r="U463">
        <v>0.75</v>
      </c>
      <c r="V463">
        <v>0.2</v>
      </c>
      <c r="W463">
        <v>1.5</v>
      </c>
      <c r="X463">
        <v>1</v>
      </c>
      <c r="Y463">
        <v>2.63</v>
      </c>
      <c r="Z463">
        <v>36.5</v>
      </c>
      <c r="AA463">
        <v>5.5</v>
      </c>
      <c r="AB463">
        <v>0.31</v>
      </c>
      <c r="AC463">
        <v>2.262</v>
      </c>
      <c r="AK463" t="s">
        <v>98</v>
      </c>
      <c r="AM463" t="s">
        <v>98</v>
      </c>
      <c r="AN463" t="s">
        <v>98</v>
      </c>
      <c r="AO463" t="s">
        <v>98</v>
      </c>
      <c r="AP463" t="s">
        <v>99</v>
      </c>
      <c r="AQ463" t="s">
        <v>102</v>
      </c>
      <c r="AV463" t="s">
        <v>98</v>
      </c>
      <c r="AX463" t="s">
        <v>179</v>
      </c>
      <c r="BF463" t="s">
        <v>1530</v>
      </c>
      <c r="BG463" t="s">
        <v>98</v>
      </c>
      <c r="BH463" t="s">
        <v>98</v>
      </c>
      <c r="BI463" t="s">
        <v>98</v>
      </c>
      <c r="BK463" t="s">
        <v>138</v>
      </c>
      <c r="CA463" t="s">
        <v>1498</v>
      </c>
      <c r="CB463" t="s">
        <v>179</v>
      </c>
      <c r="CL463" t="s">
        <v>98</v>
      </c>
      <c r="CM463" t="s">
        <v>98</v>
      </c>
      <c r="CN463" t="s">
        <v>349</v>
      </c>
      <c r="CO463" s="1">
        <v>43536</v>
      </c>
      <c r="CP463" s="1">
        <v>43595</v>
      </c>
    </row>
    <row r="464" spans="1:94" x14ac:dyDescent="0.25">
      <c r="A464" s="4" t="s">
        <v>1531</v>
      </c>
      <c r="B464" t="str">
        <f xml:space="preserve"> "" &amp; 706411035432</f>
        <v>706411035432</v>
      </c>
      <c r="C464" t="s">
        <v>786</v>
      </c>
      <c r="D464" t="s">
        <v>1532</v>
      </c>
      <c r="F464" t="s">
        <v>135</v>
      </c>
      <c r="G464">
        <v>1</v>
      </c>
      <c r="H464">
        <v>1</v>
      </c>
      <c r="I464" t="s">
        <v>97</v>
      </c>
      <c r="J464" s="32">
        <v>18</v>
      </c>
      <c r="K464" s="32">
        <v>54</v>
      </c>
      <c r="L464">
        <v>0</v>
      </c>
      <c r="N464">
        <v>0</v>
      </c>
      <c r="S464">
        <v>36</v>
      </c>
      <c r="U464">
        <v>0.75</v>
      </c>
      <c r="V464">
        <v>0.2</v>
      </c>
      <c r="W464">
        <v>1.5</v>
      </c>
      <c r="X464">
        <v>1</v>
      </c>
      <c r="Y464">
        <v>2.63</v>
      </c>
      <c r="Z464">
        <v>36.5</v>
      </c>
      <c r="AA464">
        <v>5.5</v>
      </c>
      <c r="AB464">
        <v>0.31</v>
      </c>
      <c r="AC464">
        <v>2.262</v>
      </c>
      <c r="AK464" t="s">
        <v>98</v>
      </c>
      <c r="AM464" t="s">
        <v>98</v>
      </c>
      <c r="AN464" t="s">
        <v>98</v>
      </c>
      <c r="AO464" t="s">
        <v>98</v>
      </c>
      <c r="AP464" t="s">
        <v>99</v>
      </c>
      <c r="AQ464" t="s">
        <v>102</v>
      </c>
      <c r="AV464" t="s">
        <v>98</v>
      </c>
      <c r="AX464" t="s">
        <v>183</v>
      </c>
      <c r="BF464" t="s">
        <v>1533</v>
      </c>
      <c r="BG464" t="s">
        <v>98</v>
      </c>
      <c r="BH464" t="s">
        <v>98</v>
      </c>
      <c r="BI464" t="s">
        <v>98</v>
      </c>
      <c r="BK464" t="s">
        <v>138</v>
      </c>
      <c r="CA464" t="s">
        <v>1498</v>
      </c>
      <c r="CB464" t="s">
        <v>183</v>
      </c>
      <c r="CL464" t="s">
        <v>98</v>
      </c>
      <c r="CM464" t="s">
        <v>98</v>
      </c>
      <c r="CO464" s="1">
        <v>39728</v>
      </c>
      <c r="CP464" s="1">
        <v>43595</v>
      </c>
    </row>
    <row r="465" spans="1:94" x14ac:dyDescent="0.25">
      <c r="A465" s="4" t="s">
        <v>1534</v>
      </c>
      <c r="B465" t="str">
        <f xml:space="preserve"> "" &amp; 706411031274</f>
        <v>706411031274</v>
      </c>
      <c r="C465" t="s">
        <v>786</v>
      </c>
      <c r="D465" t="s">
        <v>4392</v>
      </c>
      <c r="F465" t="s">
        <v>135</v>
      </c>
      <c r="G465">
        <v>1</v>
      </c>
      <c r="H465">
        <v>1</v>
      </c>
      <c r="I465" t="s">
        <v>97</v>
      </c>
      <c r="J465" s="32">
        <v>18</v>
      </c>
      <c r="K465" s="32">
        <v>54</v>
      </c>
      <c r="L465">
        <v>0</v>
      </c>
      <c r="N465">
        <v>0</v>
      </c>
      <c r="S465">
        <v>36</v>
      </c>
      <c r="U465">
        <v>0.75</v>
      </c>
      <c r="V465">
        <v>0.2</v>
      </c>
      <c r="W465">
        <v>1.5</v>
      </c>
      <c r="X465">
        <v>1</v>
      </c>
      <c r="Y465">
        <v>2.63</v>
      </c>
      <c r="Z465">
        <v>36.5</v>
      </c>
      <c r="AA465">
        <v>5.5</v>
      </c>
      <c r="AB465">
        <v>0.31</v>
      </c>
      <c r="AC465">
        <v>2.262</v>
      </c>
      <c r="AK465" t="s">
        <v>98</v>
      </c>
      <c r="AM465" t="s">
        <v>98</v>
      </c>
      <c r="AN465" t="s">
        <v>98</v>
      </c>
      <c r="AO465" t="s">
        <v>98</v>
      </c>
      <c r="AP465" t="s">
        <v>99</v>
      </c>
      <c r="AQ465" t="s">
        <v>102</v>
      </c>
      <c r="AV465" t="s">
        <v>98</v>
      </c>
      <c r="AX465" t="s">
        <v>186</v>
      </c>
      <c r="BF465" t="s">
        <v>1535</v>
      </c>
      <c r="BG465" t="s">
        <v>98</v>
      </c>
      <c r="BH465" t="s">
        <v>98</v>
      </c>
      <c r="BI465" t="s">
        <v>98</v>
      </c>
      <c r="BK465" t="s">
        <v>138</v>
      </c>
      <c r="CA465" t="s">
        <v>1498</v>
      </c>
      <c r="CB465" t="s">
        <v>186</v>
      </c>
      <c r="CL465" t="s">
        <v>98</v>
      </c>
      <c r="CM465" t="s">
        <v>98</v>
      </c>
      <c r="CO465" s="1">
        <v>39728</v>
      </c>
      <c r="CP465" s="1">
        <v>43595</v>
      </c>
    </row>
    <row r="466" spans="1:94" x14ac:dyDescent="0.25">
      <c r="A466" s="4" t="s">
        <v>1536</v>
      </c>
      <c r="B466" t="str">
        <f xml:space="preserve"> "" &amp; 706411039034</f>
        <v>706411039034</v>
      </c>
      <c r="C466" t="s">
        <v>786</v>
      </c>
      <c r="D466" t="s">
        <v>1537</v>
      </c>
      <c r="F466" t="s">
        <v>135</v>
      </c>
      <c r="G466">
        <v>1</v>
      </c>
      <c r="H466">
        <v>1</v>
      </c>
      <c r="I466" t="s">
        <v>97</v>
      </c>
      <c r="J466" s="32">
        <v>18</v>
      </c>
      <c r="K466" s="32">
        <v>54</v>
      </c>
      <c r="L466">
        <v>0</v>
      </c>
      <c r="N466">
        <v>0</v>
      </c>
      <c r="S466">
        <v>36</v>
      </c>
      <c r="U466">
        <v>0.75</v>
      </c>
      <c r="V466">
        <v>0.2</v>
      </c>
      <c r="W466">
        <v>1.5</v>
      </c>
      <c r="X466">
        <v>1</v>
      </c>
      <c r="Y466">
        <v>2.63</v>
      </c>
      <c r="Z466">
        <v>36.5</v>
      </c>
      <c r="AA466">
        <v>5.5</v>
      </c>
      <c r="AB466">
        <v>0.31</v>
      </c>
      <c r="AC466">
        <v>2.262</v>
      </c>
      <c r="AK466" t="s">
        <v>98</v>
      </c>
      <c r="AM466" t="s">
        <v>98</v>
      </c>
      <c r="AN466" t="s">
        <v>98</v>
      </c>
      <c r="AO466" t="s">
        <v>98</v>
      </c>
      <c r="AP466" t="s">
        <v>99</v>
      </c>
      <c r="AQ466" t="s">
        <v>102</v>
      </c>
      <c r="AV466" t="s">
        <v>98</v>
      </c>
      <c r="AX466" t="s">
        <v>190</v>
      </c>
      <c r="BF466" t="s">
        <v>1538</v>
      </c>
      <c r="BG466" t="s">
        <v>98</v>
      </c>
      <c r="BH466" t="s">
        <v>98</v>
      </c>
      <c r="BI466" t="s">
        <v>98</v>
      </c>
      <c r="BK466" t="s">
        <v>138</v>
      </c>
      <c r="CA466" t="s">
        <v>1498</v>
      </c>
      <c r="CB466" t="s">
        <v>190</v>
      </c>
      <c r="CL466" t="s">
        <v>98</v>
      </c>
      <c r="CM466" t="s">
        <v>98</v>
      </c>
      <c r="CO466" s="1">
        <v>40841</v>
      </c>
      <c r="CP466" s="1">
        <v>43595</v>
      </c>
    </row>
    <row r="467" spans="1:94" x14ac:dyDescent="0.25">
      <c r="A467" s="4" t="s">
        <v>1539</v>
      </c>
      <c r="B467" t="str">
        <f xml:space="preserve"> "" &amp; 706411026744</f>
        <v>706411026744</v>
      </c>
      <c r="C467" t="s">
        <v>786</v>
      </c>
      <c r="D467" t="s">
        <v>4393</v>
      </c>
      <c r="F467" t="s">
        <v>135</v>
      </c>
      <c r="G467">
        <v>1</v>
      </c>
      <c r="H467">
        <v>1</v>
      </c>
      <c r="I467" t="s">
        <v>97</v>
      </c>
      <c r="J467" s="32">
        <v>18</v>
      </c>
      <c r="K467" s="32">
        <v>54</v>
      </c>
      <c r="L467">
        <v>0</v>
      </c>
      <c r="N467">
        <v>0</v>
      </c>
      <c r="S467">
        <v>36</v>
      </c>
      <c r="U467">
        <v>0.75</v>
      </c>
      <c r="V467">
        <v>0.2</v>
      </c>
      <c r="W467">
        <v>1.5</v>
      </c>
      <c r="X467">
        <v>1</v>
      </c>
      <c r="Y467">
        <v>2.63</v>
      </c>
      <c r="Z467">
        <v>36.5</v>
      </c>
      <c r="AA467">
        <v>5.5</v>
      </c>
      <c r="AB467">
        <v>0.31</v>
      </c>
      <c r="AC467">
        <v>2.262</v>
      </c>
      <c r="AK467" t="s">
        <v>98</v>
      </c>
      <c r="AM467" t="s">
        <v>98</v>
      </c>
      <c r="AN467" t="s">
        <v>98</v>
      </c>
      <c r="AO467" t="s">
        <v>98</v>
      </c>
      <c r="AP467" t="s">
        <v>99</v>
      </c>
      <c r="AQ467" t="s">
        <v>102</v>
      </c>
      <c r="AV467" t="s">
        <v>98</v>
      </c>
      <c r="AX467" t="s">
        <v>193</v>
      </c>
      <c r="BF467" t="s">
        <v>1540</v>
      </c>
      <c r="BG467" t="s">
        <v>98</v>
      </c>
      <c r="BH467" t="s">
        <v>98</v>
      </c>
      <c r="BI467" t="s">
        <v>98</v>
      </c>
      <c r="BK467" t="s">
        <v>138</v>
      </c>
      <c r="CA467" t="s">
        <v>1498</v>
      </c>
      <c r="CB467" t="s">
        <v>193</v>
      </c>
      <c r="CL467" t="s">
        <v>98</v>
      </c>
      <c r="CM467" t="s">
        <v>98</v>
      </c>
      <c r="CO467" s="1">
        <v>39728</v>
      </c>
      <c r="CP467" s="1">
        <v>43595</v>
      </c>
    </row>
    <row r="468" spans="1:94" x14ac:dyDescent="0.25">
      <c r="A468" s="4" t="s">
        <v>1541</v>
      </c>
      <c r="B468" t="str">
        <f xml:space="preserve"> "" &amp; 706411052323</f>
        <v>706411052323</v>
      </c>
      <c r="C468" t="s">
        <v>786</v>
      </c>
      <c r="D468" t="s">
        <v>1542</v>
      </c>
      <c r="F468" t="s">
        <v>135</v>
      </c>
      <c r="G468">
        <v>1</v>
      </c>
      <c r="H468">
        <v>1</v>
      </c>
      <c r="I468" t="s">
        <v>97</v>
      </c>
      <c r="J468" s="32">
        <v>18</v>
      </c>
      <c r="K468" s="32">
        <v>54</v>
      </c>
      <c r="L468">
        <v>0</v>
      </c>
      <c r="N468">
        <v>0</v>
      </c>
      <c r="S468">
        <v>36</v>
      </c>
      <c r="U468">
        <v>0.75</v>
      </c>
      <c r="V468">
        <v>0.2</v>
      </c>
      <c r="W468">
        <v>1.5</v>
      </c>
      <c r="X468">
        <v>1</v>
      </c>
      <c r="Y468">
        <v>2.63</v>
      </c>
      <c r="Z468">
        <v>36.5</v>
      </c>
      <c r="AA468">
        <v>5.5</v>
      </c>
      <c r="AB468">
        <v>0.31</v>
      </c>
      <c r="AC468">
        <v>2.262</v>
      </c>
      <c r="AK468" t="s">
        <v>98</v>
      </c>
      <c r="AM468" t="s">
        <v>98</v>
      </c>
      <c r="AN468" t="s">
        <v>98</v>
      </c>
      <c r="AO468" t="s">
        <v>98</v>
      </c>
      <c r="AP468" t="s">
        <v>99</v>
      </c>
      <c r="AQ468" t="s">
        <v>102</v>
      </c>
      <c r="AV468" t="s">
        <v>98</v>
      </c>
      <c r="AX468" t="s">
        <v>197</v>
      </c>
      <c r="BF468" t="s">
        <v>1543</v>
      </c>
      <c r="BG468" t="s">
        <v>98</v>
      </c>
      <c r="BH468" t="s">
        <v>98</v>
      </c>
      <c r="BI468" t="s">
        <v>98</v>
      </c>
      <c r="BJ468" t="s">
        <v>291</v>
      </c>
      <c r="BK468" t="s">
        <v>292</v>
      </c>
      <c r="CA468" t="s">
        <v>1498</v>
      </c>
      <c r="CB468" t="s">
        <v>197</v>
      </c>
      <c r="CL468" t="s">
        <v>98</v>
      </c>
      <c r="CM468" t="s">
        <v>98</v>
      </c>
      <c r="CN468" t="s">
        <v>349</v>
      </c>
      <c r="CO468" s="1">
        <v>43414</v>
      </c>
      <c r="CP468" s="1">
        <v>43595</v>
      </c>
    </row>
    <row r="469" spans="1:94" x14ac:dyDescent="0.25">
      <c r="A469" s="4" t="s">
        <v>1544</v>
      </c>
      <c r="B469" t="str">
        <f xml:space="preserve"> "" &amp; 706411039041</f>
        <v>706411039041</v>
      </c>
      <c r="C469" t="s">
        <v>786</v>
      </c>
      <c r="D469" t="s">
        <v>1545</v>
      </c>
      <c r="F469" t="s">
        <v>135</v>
      </c>
      <c r="G469">
        <v>1</v>
      </c>
      <c r="H469">
        <v>1</v>
      </c>
      <c r="I469" t="s">
        <v>97</v>
      </c>
      <c r="J469" s="32">
        <v>18</v>
      </c>
      <c r="K469" s="32">
        <v>54</v>
      </c>
      <c r="L469">
        <v>0</v>
      </c>
      <c r="N469">
        <v>0</v>
      </c>
      <c r="S469">
        <v>36</v>
      </c>
      <c r="U469">
        <v>0.75</v>
      </c>
      <c r="V469">
        <v>0.2</v>
      </c>
      <c r="W469">
        <v>1.5</v>
      </c>
      <c r="X469">
        <v>1</v>
      </c>
      <c r="Y469">
        <v>2.63</v>
      </c>
      <c r="Z469">
        <v>36.5</v>
      </c>
      <c r="AA469">
        <v>5.5</v>
      </c>
      <c r="AB469">
        <v>0.31</v>
      </c>
      <c r="AC469">
        <v>2.262</v>
      </c>
      <c r="AK469" t="s">
        <v>98</v>
      </c>
      <c r="AM469" t="s">
        <v>98</v>
      </c>
      <c r="AN469" t="s">
        <v>98</v>
      </c>
      <c r="AO469" t="s">
        <v>98</v>
      </c>
      <c r="AP469" t="s">
        <v>99</v>
      </c>
      <c r="AQ469" t="s">
        <v>102</v>
      </c>
      <c r="AV469" t="s">
        <v>98</v>
      </c>
      <c r="AX469" t="s">
        <v>201</v>
      </c>
      <c r="BF469" t="s">
        <v>1546</v>
      </c>
      <c r="BG469" t="s">
        <v>98</v>
      </c>
      <c r="BH469" t="s">
        <v>98</v>
      </c>
      <c r="BI469" t="s">
        <v>98</v>
      </c>
      <c r="BK469" t="s">
        <v>138</v>
      </c>
      <c r="CA469" t="s">
        <v>1498</v>
      </c>
      <c r="CB469" t="s">
        <v>201</v>
      </c>
      <c r="CL469" t="s">
        <v>98</v>
      </c>
      <c r="CM469" t="s">
        <v>98</v>
      </c>
      <c r="CO469" s="1">
        <v>40841</v>
      </c>
      <c r="CP469" s="1">
        <v>43595</v>
      </c>
    </row>
    <row r="470" spans="1:94" x14ac:dyDescent="0.25">
      <c r="A470" s="4" t="s">
        <v>1547</v>
      </c>
      <c r="B470" t="str">
        <f xml:space="preserve"> "" &amp; 706411057045</f>
        <v>706411057045</v>
      </c>
      <c r="C470" t="s">
        <v>786</v>
      </c>
      <c r="D470" t="s">
        <v>1548</v>
      </c>
      <c r="F470" t="s">
        <v>135</v>
      </c>
      <c r="G470">
        <v>1</v>
      </c>
      <c r="H470">
        <v>1</v>
      </c>
      <c r="I470" t="s">
        <v>97</v>
      </c>
      <c r="J470" s="32">
        <v>18</v>
      </c>
      <c r="K470" s="32">
        <v>54</v>
      </c>
      <c r="L470">
        <v>0</v>
      </c>
      <c r="N470">
        <v>0</v>
      </c>
      <c r="S470">
        <v>36</v>
      </c>
      <c r="U470">
        <v>0.75</v>
      </c>
      <c r="V470">
        <v>0.2</v>
      </c>
      <c r="W470">
        <v>1.5</v>
      </c>
      <c r="X470">
        <v>1</v>
      </c>
      <c r="Y470">
        <v>2.63</v>
      </c>
      <c r="Z470">
        <v>36.5</v>
      </c>
      <c r="AA470">
        <v>5.5</v>
      </c>
      <c r="AB470">
        <v>0.31</v>
      </c>
      <c r="AC470">
        <v>2.262</v>
      </c>
      <c r="AK470" t="s">
        <v>98</v>
      </c>
      <c r="AM470" t="s">
        <v>98</v>
      </c>
      <c r="AN470" t="s">
        <v>98</v>
      </c>
      <c r="AO470" t="s">
        <v>98</v>
      </c>
      <c r="AP470" t="s">
        <v>99</v>
      </c>
      <c r="AQ470" t="s">
        <v>102</v>
      </c>
      <c r="AV470" t="s">
        <v>98</v>
      </c>
      <c r="AX470" t="s">
        <v>859</v>
      </c>
      <c r="BF470" t="s">
        <v>1549</v>
      </c>
      <c r="BG470" t="s">
        <v>98</v>
      </c>
      <c r="BH470" t="s">
        <v>98</v>
      </c>
      <c r="BI470" t="s">
        <v>98</v>
      </c>
      <c r="BK470" t="s">
        <v>138</v>
      </c>
      <c r="CA470" t="s">
        <v>1498</v>
      </c>
      <c r="CB470" t="s">
        <v>859</v>
      </c>
      <c r="CL470" t="s">
        <v>98</v>
      </c>
      <c r="CM470" t="s">
        <v>98</v>
      </c>
      <c r="CO470" s="1">
        <v>43399</v>
      </c>
      <c r="CP470" s="1">
        <v>43595</v>
      </c>
    </row>
    <row r="471" spans="1:94" x14ac:dyDescent="0.25">
      <c r="A471" s="4" t="s">
        <v>1550</v>
      </c>
      <c r="B471" t="str">
        <f xml:space="preserve"> "" &amp; 706411043222</f>
        <v>706411043222</v>
      </c>
      <c r="C471" t="s">
        <v>786</v>
      </c>
      <c r="D471" t="s">
        <v>1551</v>
      </c>
      <c r="F471" t="s">
        <v>135</v>
      </c>
      <c r="G471">
        <v>1</v>
      </c>
      <c r="H471">
        <v>1</v>
      </c>
      <c r="I471" t="s">
        <v>97</v>
      </c>
      <c r="J471" s="32">
        <v>18</v>
      </c>
      <c r="K471" s="32">
        <v>54</v>
      </c>
      <c r="L471">
        <v>0</v>
      </c>
      <c r="N471">
        <v>0</v>
      </c>
      <c r="S471">
        <v>36</v>
      </c>
      <c r="U471">
        <v>0.75</v>
      </c>
      <c r="V471">
        <v>0.2</v>
      </c>
      <c r="W471">
        <v>1.5</v>
      </c>
      <c r="X471">
        <v>1</v>
      </c>
      <c r="Y471">
        <v>2.63</v>
      </c>
      <c r="Z471">
        <v>36.5</v>
      </c>
      <c r="AA471">
        <v>5.5</v>
      </c>
      <c r="AB471">
        <v>0.31</v>
      </c>
      <c r="AC471">
        <v>2.262</v>
      </c>
      <c r="AK471" t="s">
        <v>98</v>
      </c>
      <c r="AM471" t="s">
        <v>98</v>
      </c>
      <c r="AN471" t="s">
        <v>98</v>
      </c>
      <c r="AO471" t="s">
        <v>98</v>
      </c>
      <c r="AP471" t="s">
        <v>99</v>
      </c>
      <c r="AQ471" t="s">
        <v>102</v>
      </c>
      <c r="AV471" t="s">
        <v>98</v>
      </c>
      <c r="AX471" t="s">
        <v>205</v>
      </c>
      <c r="BF471" t="s">
        <v>1552</v>
      </c>
      <c r="BG471" t="s">
        <v>98</v>
      </c>
      <c r="BH471" t="s">
        <v>98</v>
      </c>
      <c r="BI471" t="s">
        <v>98</v>
      </c>
      <c r="BK471" t="s">
        <v>138</v>
      </c>
      <c r="CA471" t="s">
        <v>1498</v>
      </c>
      <c r="CB471" t="s">
        <v>205</v>
      </c>
      <c r="CL471" t="s">
        <v>98</v>
      </c>
      <c r="CM471" t="s">
        <v>98</v>
      </c>
      <c r="CN471" t="s">
        <v>349</v>
      </c>
      <c r="CP471" s="1">
        <v>43595</v>
      </c>
    </row>
    <row r="472" spans="1:94" x14ac:dyDescent="0.25">
      <c r="A472" s="4" t="s">
        <v>1553</v>
      </c>
      <c r="B472" t="str">
        <f xml:space="preserve"> "" &amp; 706411053269</f>
        <v>706411053269</v>
      </c>
      <c r="C472" t="s">
        <v>786</v>
      </c>
      <c r="D472" t="s">
        <v>1554</v>
      </c>
      <c r="F472" t="s">
        <v>135</v>
      </c>
      <c r="G472">
        <v>1</v>
      </c>
      <c r="H472">
        <v>1</v>
      </c>
      <c r="I472" t="s">
        <v>97</v>
      </c>
      <c r="J472" s="32">
        <v>18</v>
      </c>
      <c r="K472" s="32">
        <v>54</v>
      </c>
      <c r="L472">
        <v>0</v>
      </c>
      <c r="N472">
        <v>0</v>
      </c>
      <c r="S472">
        <v>36</v>
      </c>
      <c r="U472">
        <v>0.75</v>
      </c>
      <c r="V472">
        <v>0.2</v>
      </c>
      <c r="W472">
        <v>1.5</v>
      </c>
      <c r="X472">
        <v>1</v>
      </c>
      <c r="Y472">
        <v>2.63</v>
      </c>
      <c r="Z472">
        <v>36.5</v>
      </c>
      <c r="AA472">
        <v>5.5</v>
      </c>
      <c r="AB472">
        <v>0.31</v>
      </c>
      <c r="AC472">
        <v>2.262</v>
      </c>
      <c r="AK472" t="s">
        <v>98</v>
      </c>
      <c r="AM472" t="s">
        <v>98</v>
      </c>
      <c r="AN472" t="s">
        <v>98</v>
      </c>
      <c r="AO472" t="s">
        <v>98</v>
      </c>
      <c r="AP472" t="s">
        <v>99</v>
      </c>
      <c r="AQ472" t="s">
        <v>102</v>
      </c>
      <c r="AV472" t="s">
        <v>98</v>
      </c>
      <c r="AX472" t="s">
        <v>371</v>
      </c>
      <c r="BF472" t="s">
        <v>1555</v>
      </c>
      <c r="BG472" t="s">
        <v>98</v>
      </c>
      <c r="BH472" t="s">
        <v>98</v>
      </c>
      <c r="BI472" t="s">
        <v>98</v>
      </c>
      <c r="BK472" t="s">
        <v>138</v>
      </c>
      <c r="CA472" t="s">
        <v>1556</v>
      </c>
      <c r="CB472" t="s">
        <v>371</v>
      </c>
      <c r="CL472" t="s">
        <v>98</v>
      </c>
      <c r="CM472" t="s">
        <v>98</v>
      </c>
      <c r="CN472" t="s">
        <v>349</v>
      </c>
      <c r="CO472" s="1">
        <v>43414</v>
      </c>
      <c r="CP472" s="1">
        <v>43595</v>
      </c>
    </row>
    <row r="473" spans="1:94" x14ac:dyDescent="0.25">
      <c r="A473" s="4" t="s">
        <v>1557</v>
      </c>
      <c r="B473" t="str">
        <f xml:space="preserve"> "" &amp; 706411060557</f>
        <v>706411060557</v>
      </c>
      <c r="C473" t="s">
        <v>786</v>
      </c>
      <c r="D473" t="s">
        <v>4353</v>
      </c>
      <c r="F473" t="s">
        <v>135</v>
      </c>
      <c r="G473">
        <v>1</v>
      </c>
      <c r="H473">
        <v>1</v>
      </c>
      <c r="I473" t="s">
        <v>97</v>
      </c>
      <c r="J473" s="32">
        <v>18</v>
      </c>
      <c r="K473" s="32">
        <v>54</v>
      </c>
      <c r="L473">
        <v>0</v>
      </c>
      <c r="N473">
        <v>0</v>
      </c>
      <c r="S473">
        <v>36</v>
      </c>
      <c r="U473">
        <v>0.75</v>
      </c>
      <c r="V473">
        <v>0.2</v>
      </c>
      <c r="W473">
        <v>1.5</v>
      </c>
      <c r="X473">
        <v>1</v>
      </c>
      <c r="Y473">
        <v>2.63</v>
      </c>
      <c r="Z473">
        <v>36.5</v>
      </c>
      <c r="AA473">
        <v>5.5</v>
      </c>
      <c r="AB473">
        <v>0.31</v>
      </c>
      <c r="AC473">
        <v>2.27</v>
      </c>
      <c r="AK473" t="s">
        <v>98</v>
      </c>
      <c r="AM473" t="s">
        <v>98</v>
      </c>
      <c r="AN473" t="s">
        <v>98</v>
      </c>
      <c r="AO473" t="s">
        <v>98</v>
      </c>
      <c r="AP473" t="s">
        <v>99</v>
      </c>
      <c r="AQ473" t="s">
        <v>102</v>
      </c>
      <c r="AV473" t="s">
        <v>98</v>
      </c>
      <c r="AX473" t="s">
        <v>1095</v>
      </c>
      <c r="BF473" t="s">
        <v>1558</v>
      </c>
      <c r="BG473" t="s">
        <v>98</v>
      </c>
      <c r="BH473" t="s">
        <v>98</v>
      </c>
      <c r="BI473" t="s">
        <v>98</v>
      </c>
      <c r="BJ473" t="s">
        <v>291</v>
      </c>
      <c r="BK473" t="s">
        <v>292</v>
      </c>
      <c r="CA473" t="s">
        <v>1498</v>
      </c>
      <c r="CB473" t="s">
        <v>1095</v>
      </c>
      <c r="CL473" t="s">
        <v>98</v>
      </c>
      <c r="CM473" t="s">
        <v>98</v>
      </c>
      <c r="CN473" t="s">
        <v>349</v>
      </c>
      <c r="CO473" s="1">
        <v>43642</v>
      </c>
      <c r="CP473" s="1">
        <v>43648</v>
      </c>
    </row>
    <row r="474" spans="1:94" x14ac:dyDescent="0.25">
      <c r="A474" s="4" t="s">
        <v>1559</v>
      </c>
      <c r="B474" t="str">
        <f xml:space="preserve"> "" &amp; 706411056826</f>
        <v>706411056826</v>
      </c>
      <c r="C474" t="s">
        <v>786</v>
      </c>
      <c r="D474" t="s">
        <v>1560</v>
      </c>
      <c r="F474" t="s">
        <v>135</v>
      </c>
      <c r="G474">
        <v>1</v>
      </c>
      <c r="H474">
        <v>1</v>
      </c>
      <c r="I474" t="s">
        <v>97</v>
      </c>
      <c r="J474" s="32">
        <v>18</v>
      </c>
      <c r="K474" s="32">
        <v>54</v>
      </c>
      <c r="L474">
        <v>0</v>
      </c>
      <c r="N474">
        <v>0</v>
      </c>
      <c r="S474">
        <v>36</v>
      </c>
      <c r="U474">
        <v>0.75</v>
      </c>
      <c r="V474">
        <v>0.2</v>
      </c>
      <c r="W474">
        <v>1.5</v>
      </c>
      <c r="X474">
        <v>1</v>
      </c>
      <c r="Y474">
        <v>2.63</v>
      </c>
      <c r="Z474">
        <v>36.5</v>
      </c>
      <c r="AA474">
        <v>5.5</v>
      </c>
      <c r="AB474">
        <v>0.31</v>
      </c>
      <c r="AC474">
        <v>2.262</v>
      </c>
      <c r="AK474" t="s">
        <v>98</v>
      </c>
      <c r="AM474" t="s">
        <v>98</v>
      </c>
      <c r="AN474" t="s">
        <v>98</v>
      </c>
      <c r="AO474" t="s">
        <v>98</v>
      </c>
      <c r="AP474" t="s">
        <v>99</v>
      </c>
      <c r="AQ474" t="s">
        <v>102</v>
      </c>
      <c r="AV474" t="s">
        <v>98</v>
      </c>
      <c r="AX474" t="s">
        <v>209</v>
      </c>
      <c r="BF474" t="s">
        <v>1561</v>
      </c>
      <c r="BG474" t="s">
        <v>98</v>
      </c>
      <c r="BH474" t="s">
        <v>98</v>
      </c>
      <c r="BI474" t="s">
        <v>98</v>
      </c>
      <c r="CB474" t="s">
        <v>209</v>
      </c>
      <c r="CL474" t="s">
        <v>98</v>
      </c>
      <c r="CM474" t="s">
        <v>98</v>
      </c>
      <c r="CN474" t="s">
        <v>349</v>
      </c>
      <c r="CO474" s="1">
        <v>43147</v>
      </c>
      <c r="CP474" s="1">
        <v>43595</v>
      </c>
    </row>
    <row r="475" spans="1:94" x14ac:dyDescent="0.25">
      <c r="A475" s="4" t="s">
        <v>1562</v>
      </c>
      <c r="B475" t="str">
        <f xml:space="preserve"> "" &amp; 706411025679</f>
        <v>706411025679</v>
      </c>
      <c r="C475" t="s">
        <v>786</v>
      </c>
      <c r="D475" t="s">
        <v>4394</v>
      </c>
      <c r="F475" t="s">
        <v>135</v>
      </c>
      <c r="G475">
        <v>1</v>
      </c>
      <c r="H475">
        <v>1</v>
      </c>
      <c r="I475" t="s">
        <v>97</v>
      </c>
      <c r="J475" s="32">
        <v>18</v>
      </c>
      <c r="K475" s="32">
        <v>54</v>
      </c>
      <c r="L475">
        <v>0</v>
      </c>
      <c r="N475">
        <v>0</v>
      </c>
      <c r="S475">
        <v>36</v>
      </c>
      <c r="U475">
        <v>0.75</v>
      </c>
      <c r="V475">
        <v>0.2</v>
      </c>
      <c r="W475">
        <v>1.5</v>
      </c>
      <c r="X475">
        <v>1</v>
      </c>
      <c r="Y475">
        <v>2.63</v>
      </c>
      <c r="Z475">
        <v>36.5</v>
      </c>
      <c r="AA475">
        <v>5.5</v>
      </c>
      <c r="AB475">
        <v>0.31</v>
      </c>
      <c r="AC475">
        <v>2.262</v>
      </c>
      <c r="AK475" t="s">
        <v>98</v>
      </c>
      <c r="AM475" t="s">
        <v>98</v>
      </c>
      <c r="AN475" t="s">
        <v>98</v>
      </c>
      <c r="AO475" t="s">
        <v>98</v>
      </c>
      <c r="AP475" t="s">
        <v>99</v>
      </c>
      <c r="AQ475" t="s">
        <v>102</v>
      </c>
      <c r="AV475" t="s">
        <v>98</v>
      </c>
      <c r="AX475" t="s">
        <v>212</v>
      </c>
      <c r="BF475" t="s">
        <v>1563</v>
      </c>
      <c r="BG475" t="s">
        <v>98</v>
      </c>
      <c r="BH475" t="s">
        <v>98</v>
      </c>
      <c r="BI475" t="s">
        <v>98</v>
      </c>
      <c r="BK475" t="s">
        <v>138</v>
      </c>
      <c r="CA475" t="s">
        <v>1498</v>
      </c>
      <c r="CB475" t="s">
        <v>212</v>
      </c>
      <c r="CL475" t="s">
        <v>98</v>
      </c>
      <c r="CM475" t="s">
        <v>98</v>
      </c>
      <c r="CO475" s="1">
        <v>39728</v>
      </c>
      <c r="CP475" s="1">
        <v>43595</v>
      </c>
    </row>
    <row r="476" spans="1:94" x14ac:dyDescent="0.25">
      <c r="A476" s="4" t="s">
        <v>1564</v>
      </c>
      <c r="B476" t="str">
        <f xml:space="preserve"> "" &amp; 706411035418</f>
        <v>706411035418</v>
      </c>
      <c r="C476" t="s">
        <v>786</v>
      </c>
      <c r="D476" t="s">
        <v>4395</v>
      </c>
      <c r="F476" t="s">
        <v>135</v>
      </c>
      <c r="G476">
        <v>1</v>
      </c>
      <c r="H476">
        <v>1</v>
      </c>
      <c r="I476" t="s">
        <v>97</v>
      </c>
      <c r="J476" s="32">
        <v>18</v>
      </c>
      <c r="K476" s="32">
        <v>54</v>
      </c>
      <c r="L476">
        <v>0</v>
      </c>
      <c r="N476">
        <v>0</v>
      </c>
      <c r="S476">
        <v>36</v>
      </c>
      <c r="U476">
        <v>0.75</v>
      </c>
      <c r="V476">
        <v>0.2</v>
      </c>
      <c r="W476">
        <v>1.5</v>
      </c>
      <c r="X476">
        <v>1</v>
      </c>
      <c r="Y476">
        <v>2.63</v>
      </c>
      <c r="Z476">
        <v>36.5</v>
      </c>
      <c r="AA476">
        <v>5.5</v>
      </c>
      <c r="AB476">
        <v>0.31</v>
      </c>
      <c r="AC476">
        <v>2.262</v>
      </c>
      <c r="AK476" t="s">
        <v>98</v>
      </c>
      <c r="AM476" t="s">
        <v>98</v>
      </c>
      <c r="AN476" t="s">
        <v>98</v>
      </c>
      <c r="AO476" t="s">
        <v>98</v>
      </c>
      <c r="AP476" t="s">
        <v>99</v>
      </c>
      <c r="AQ476" t="s">
        <v>102</v>
      </c>
      <c r="AV476" t="s">
        <v>98</v>
      </c>
      <c r="AX476" t="s">
        <v>215</v>
      </c>
      <c r="BF476" t="s">
        <v>1565</v>
      </c>
      <c r="BG476" t="s">
        <v>98</v>
      </c>
      <c r="BH476" t="s">
        <v>98</v>
      </c>
      <c r="BI476" t="s">
        <v>98</v>
      </c>
      <c r="BK476" t="s">
        <v>138</v>
      </c>
      <c r="CA476" t="s">
        <v>1498</v>
      </c>
      <c r="CB476" t="s">
        <v>215</v>
      </c>
      <c r="CL476" t="s">
        <v>98</v>
      </c>
      <c r="CM476" t="s">
        <v>98</v>
      </c>
      <c r="CO476" s="1">
        <v>39728</v>
      </c>
      <c r="CP476" s="1">
        <v>43595</v>
      </c>
    </row>
    <row r="477" spans="1:94" x14ac:dyDescent="0.25">
      <c r="A477" s="4" t="s">
        <v>1566</v>
      </c>
      <c r="B477" t="str">
        <f xml:space="preserve"> "" &amp; 706411043239</f>
        <v>706411043239</v>
      </c>
      <c r="C477" t="s">
        <v>786</v>
      </c>
      <c r="D477" t="s">
        <v>1567</v>
      </c>
      <c r="F477" t="s">
        <v>135</v>
      </c>
      <c r="G477">
        <v>1</v>
      </c>
      <c r="H477">
        <v>1</v>
      </c>
      <c r="I477" t="s">
        <v>97</v>
      </c>
      <c r="J477" s="32">
        <v>18</v>
      </c>
      <c r="K477" s="32">
        <v>54</v>
      </c>
      <c r="L477">
        <v>0</v>
      </c>
      <c r="N477">
        <v>0</v>
      </c>
      <c r="S477">
        <v>36</v>
      </c>
      <c r="U477">
        <v>0.75</v>
      </c>
      <c r="V477">
        <v>0.2</v>
      </c>
      <c r="W477">
        <v>1.5</v>
      </c>
      <c r="X477">
        <v>1</v>
      </c>
      <c r="Y477">
        <v>2.63</v>
      </c>
      <c r="Z477">
        <v>36.5</v>
      </c>
      <c r="AA477">
        <v>5.5</v>
      </c>
      <c r="AB477">
        <v>0.31</v>
      </c>
      <c r="AC477">
        <v>2.262</v>
      </c>
      <c r="AK477" t="s">
        <v>98</v>
      </c>
      <c r="AM477" t="s">
        <v>98</v>
      </c>
      <c r="AN477" t="s">
        <v>98</v>
      </c>
      <c r="AO477" t="s">
        <v>98</v>
      </c>
      <c r="AP477" t="s">
        <v>99</v>
      </c>
      <c r="AQ477" t="s">
        <v>102</v>
      </c>
      <c r="AV477" t="s">
        <v>98</v>
      </c>
      <c r="AX477" t="s">
        <v>219</v>
      </c>
      <c r="BF477" t="s">
        <v>1568</v>
      </c>
      <c r="BG477" t="s">
        <v>98</v>
      </c>
      <c r="BH477" t="s">
        <v>98</v>
      </c>
      <c r="BI477" t="s">
        <v>98</v>
      </c>
      <c r="CB477" t="s">
        <v>219</v>
      </c>
      <c r="CL477" t="s">
        <v>98</v>
      </c>
      <c r="CM477" t="s">
        <v>98</v>
      </c>
      <c r="CP477" s="1">
        <v>43595</v>
      </c>
    </row>
    <row r="478" spans="1:94" x14ac:dyDescent="0.25">
      <c r="A478" s="4" t="s">
        <v>1569</v>
      </c>
      <c r="B478" t="str">
        <f xml:space="preserve"> "" &amp; 706411033520</f>
        <v>706411033520</v>
      </c>
      <c r="C478" t="s">
        <v>786</v>
      </c>
      <c r="D478" t="s">
        <v>1570</v>
      </c>
      <c r="F478" t="s">
        <v>135</v>
      </c>
      <c r="G478">
        <v>1</v>
      </c>
      <c r="H478">
        <v>1</v>
      </c>
      <c r="I478" t="s">
        <v>97</v>
      </c>
      <c r="J478" s="32">
        <v>18</v>
      </c>
      <c r="K478" s="32">
        <v>54</v>
      </c>
      <c r="L478">
        <v>0</v>
      </c>
      <c r="N478">
        <v>0</v>
      </c>
      <c r="S478">
        <v>36</v>
      </c>
      <c r="U478">
        <v>0.75</v>
      </c>
      <c r="V478">
        <v>0.2</v>
      </c>
      <c r="W478">
        <v>1.5</v>
      </c>
      <c r="X478">
        <v>1</v>
      </c>
      <c r="Y478">
        <v>2.63</v>
      </c>
      <c r="Z478">
        <v>36.5</v>
      </c>
      <c r="AA478">
        <v>5.5</v>
      </c>
      <c r="AB478">
        <v>0.31</v>
      </c>
      <c r="AC478">
        <v>2.262</v>
      </c>
      <c r="AK478" t="s">
        <v>98</v>
      </c>
      <c r="AM478" t="s">
        <v>98</v>
      </c>
      <c r="AN478" t="s">
        <v>98</v>
      </c>
      <c r="AO478" t="s">
        <v>98</v>
      </c>
      <c r="AP478" t="s">
        <v>99</v>
      </c>
      <c r="AQ478" t="s">
        <v>102</v>
      </c>
      <c r="AV478" t="s">
        <v>98</v>
      </c>
      <c r="AX478" t="s">
        <v>223</v>
      </c>
      <c r="BF478" t="s">
        <v>1571</v>
      </c>
      <c r="BG478" t="s">
        <v>98</v>
      </c>
      <c r="BH478" t="s">
        <v>98</v>
      </c>
      <c r="BI478" t="s">
        <v>98</v>
      </c>
      <c r="BK478" t="s">
        <v>138</v>
      </c>
      <c r="CA478" t="s">
        <v>1498</v>
      </c>
      <c r="CB478" t="s">
        <v>223</v>
      </c>
      <c r="CL478" t="s">
        <v>98</v>
      </c>
      <c r="CM478" t="s">
        <v>98</v>
      </c>
      <c r="CO478" s="1">
        <v>39728</v>
      </c>
      <c r="CP478" s="1">
        <v>43595</v>
      </c>
    </row>
    <row r="479" spans="1:94" x14ac:dyDescent="0.25">
      <c r="A479" s="4" t="s">
        <v>1572</v>
      </c>
      <c r="B479" t="str">
        <f xml:space="preserve"> "" &amp; 706411039065</f>
        <v>706411039065</v>
      </c>
      <c r="C479" t="s">
        <v>786</v>
      </c>
      <c r="D479" t="s">
        <v>1573</v>
      </c>
      <c r="F479" t="s">
        <v>135</v>
      </c>
      <c r="G479">
        <v>1</v>
      </c>
      <c r="H479">
        <v>1</v>
      </c>
      <c r="I479" t="s">
        <v>97</v>
      </c>
      <c r="J479" s="32">
        <v>18</v>
      </c>
      <c r="K479" s="32">
        <v>54</v>
      </c>
      <c r="L479">
        <v>0</v>
      </c>
      <c r="N479">
        <v>0</v>
      </c>
      <c r="S479">
        <v>36</v>
      </c>
      <c r="U479">
        <v>0.75</v>
      </c>
      <c r="V479">
        <v>0.2</v>
      </c>
      <c r="W479">
        <v>1.5</v>
      </c>
      <c r="X479">
        <v>1</v>
      </c>
      <c r="Y479">
        <v>2.63</v>
      </c>
      <c r="Z479">
        <v>36.5</v>
      </c>
      <c r="AA479">
        <v>5.5</v>
      </c>
      <c r="AB479">
        <v>0.31</v>
      </c>
      <c r="AC479">
        <v>2.262</v>
      </c>
      <c r="AK479" t="s">
        <v>98</v>
      </c>
      <c r="AM479" t="s">
        <v>98</v>
      </c>
      <c r="AN479" t="s">
        <v>98</v>
      </c>
      <c r="AO479" t="s">
        <v>98</v>
      </c>
      <c r="AP479" t="s">
        <v>99</v>
      </c>
      <c r="AQ479" t="s">
        <v>102</v>
      </c>
      <c r="AV479" t="s">
        <v>98</v>
      </c>
      <c r="AX479" t="s">
        <v>227</v>
      </c>
      <c r="BF479" t="s">
        <v>1574</v>
      </c>
      <c r="BG479" t="s">
        <v>98</v>
      </c>
      <c r="BH479" t="s">
        <v>98</v>
      </c>
      <c r="BI479" t="s">
        <v>98</v>
      </c>
      <c r="CB479" t="s">
        <v>227</v>
      </c>
      <c r="CL479" t="s">
        <v>98</v>
      </c>
      <c r="CM479" t="s">
        <v>98</v>
      </c>
      <c r="CP479" s="1">
        <v>43595</v>
      </c>
    </row>
    <row r="480" spans="1:94" x14ac:dyDescent="0.25">
      <c r="A480" s="4" t="s">
        <v>1575</v>
      </c>
      <c r="B480" t="str">
        <f xml:space="preserve"> "" &amp; 706411027352</f>
        <v>706411027352</v>
      </c>
      <c r="C480" t="s">
        <v>786</v>
      </c>
      <c r="D480" t="s">
        <v>1576</v>
      </c>
      <c r="F480" t="s">
        <v>135</v>
      </c>
      <c r="G480">
        <v>1</v>
      </c>
      <c r="H480">
        <v>1</v>
      </c>
      <c r="I480" t="s">
        <v>97</v>
      </c>
      <c r="J480" s="32">
        <v>18</v>
      </c>
      <c r="K480" s="32">
        <v>54</v>
      </c>
      <c r="L480">
        <v>0</v>
      </c>
      <c r="N480">
        <v>0</v>
      </c>
      <c r="S480">
        <v>36</v>
      </c>
      <c r="U480">
        <v>0.75</v>
      </c>
      <c r="V480">
        <v>0.2</v>
      </c>
      <c r="W480">
        <v>1.5</v>
      </c>
      <c r="X480">
        <v>1</v>
      </c>
      <c r="Y480">
        <v>2.63</v>
      </c>
      <c r="Z480">
        <v>36.5</v>
      </c>
      <c r="AA480">
        <v>5.5</v>
      </c>
      <c r="AB480">
        <v>0.31</v>
      </c>
      <c r="AC480">
        <v>2.262</v>
      </c>
      <c r="AK480" t="s">
        <v>98</v>
      </c>
      <c r="AM480" t="s">
        <v>98</v>
      </c>
      <c r="AN480" t="s">
        <v>98</v>
      </c>
      <c r="AO480" t="s">
        <v>98</v>
      </c>
      <c r="AP480" t="s">
        <v>99</v>
      </c>
      <c r="AQ480" t="s">
        <v>102</v>
      </c>
      <c r="AV480" t="s">
        <v>98</v>
      </c>
      <c r="AX480" t="s">
        <v>231</v>
      </c>
      <c r="BF480" t="s">
        <v>1577</v>
      </c>
      <c r="BG480" t="s">
        <v>98</v>
      </c>
      <c r="BH480" t="s">
        <v>98</v>
      </c>
      <c r="BI480" t="s">
        <v>98</v>
      </c>
      <c r="BK480" t="s">
        <v>138</v>
      </c>
      <c r="CA480" t="s">
        <v>1498</v>
      </c>
      <c r="CB480" t="s">
        <v>231</v>
      </c>
      <c r="CL480" t="s">
        <v>98</v>
      </c>
      <c r="CM480" t="s">
        <v>98</v>
      </c>
      <c r="CO480" s="1">
        <v>39728</v>
      </c>
      <c r="CP480" s="1">
        <v>43595</v>
      </c>
    </row>
    <row r="481" spans="1:94" x14ac:dyDescent="0.25">
      <c r="A481" s="4" t="s">
        <v>1578</v>
      </c>
      <c r="B481" t="str">
        <f xml:space="preserve"> "" &amp; 706411027260</f>
        <v>706411027260</v>
      </c>
      <c r="C481" t="s">
        <v>786</v>
      </c>
      <c r="D481" t="s">
        <v>1579</v>
      </c>
      <c r="F481" t="s">
        <v>135</v>
      </c>
      <c r="G481">
        <v>1</v>
      </c>
      <c r="H481">
        <v>1</v>
      </c>
      <c r="I481" t="s">
        <v>97</v>
      </c>
      <c r="J481" s="32">
        <v>18</v>
      </c>
      <c r="K481" s="32">
        <v>54</v>
      </c>
      <c r="L481">
        <v>0</v>
      </c>
      <c r="N481">
        <v>0</v>
      </c>
      <c r="S481">
        <v>36</v>
      </c>
      <c r="U481">
        <v>0.75</v>
      </c>
      <c r="V481">
        <v>0.2</v>
      </c>
      <c r="W481">
        <v>1.5</v>
      </c>
      <c r="X481">
        <v>1</v>
      </c>
      <c r="Y481">
        <v>2.63</v>
      </c>
      <c r="Z481">
        <v>36.5</v>
      </c>
      <c r="AA481">
        <v>5.5</v>
      </c>
      <c r="AB481">
        <v>0.31</v>
      </c>
      <c r="AC481">
        <v>2.262</v>
      </c>
      <c r="AK481" t="s">
        <v>98</v>
      </c>
      <c r="AM481" t="s">
        <v>98</v>
      </c>
      <c r="AN481" t="s">
        <v>98</v>
      </c>
      <c r="AO481" t="s">
        <v>98</v>
      </c>
      <c r="AP481" t="s">
        <v>99</v>
      </c>
      <c r="AQ481" t="s">
        <v>102</v>
      </c>
      <c r="AV481" t="s">
        <v>98</v>
      </c>
      <c r="AX481" t="s">
        <v>235</v>
      </c>
      <c r="BF481" t="s">
        <v>1580</v>
      </c>
      <c r="BG481" t="s">
        <v>98</v>
      </c>
      <c r="BH481" t="s">
        <v>98</v>
      </c>
      <c r="BI481" t="s">
        <v>98</v>
      </c>
      <c r="BK481" t="s">
        <v>138</v>
      </c>
      <c r="CA481" t="s">
        <v>1498</v>
      </c>
      <c r="CB481" t="s">
        <v>235</v>
      </c>
      <c r="CL481" t="s">
        <v>98</v>
      </c>
      <c r="CM481" t="s">
        <v>98</v>
      </c>
      <c r="CO481" s="1">
        <v>39728</v>
      </c>
      <c r="CP481" s="1">
        <v>43595</v>
      </c>
    </row>
    <row r="482" spans="1:94" x14ac:dyDescent="0.25">
      <c r="A482" s="4" t="s">
        <v>1581</v>
      </c>
      <c r="B482" t="str">
        <f xml:space="preserve"> "" &amp; 706411035456</f>
        <v>706411035456</v>
      </c>
      <c r="C482" t="s">
        <v>786</v>
      </c>
      <c r="D482" t="s">
        <v>4396</v>
      </c>
      <c r="F482" t="s">
        <v>135</v>
      </c>
      <c r="G482">
        <v>1</v>
      </c>
      <c r="H482">
        <v>1</v>
      </c>
      <c r="I482" t="s">
        <v>97</v>
      </c>
      <c r="J482" s="32">
        <v>18</v>
      </c>
      <c r="K482" s="32">
        <v>54</v>
      </c>
      <c r="L482">
        <v>0</v>
      </c>
      <c r="N482">
        <v>0</v>
      </c>
      <c r="S482">
        <v>36</v>
      </c>
      <c r="U482">
        <v>0.75</v>
      </c>
      <c r="V482">
        <v>0.2</v>
      </c>
      <c r="W482">
        <v>1.5</v>
      </c>
      <c r="X482">
        <v>1</v>
      </c>
      <c r="Y482">
        <v>2.63</v>
      </c>
      <c r="Z482">
        <v>36.5</v>
      </c>
      <c r="AA482">
        <v>5.5</v>
      </c>
      <c r="AB482">
        <v>0.31</v>
      </c>
      <c r="AC482">
        <v>2.262</v>
      </c>
      <c r="AK482" t="s">
        <v>98</v>
      </c>
      <c r="AM482" t="s">
        <v>98</v>
      </c>
      <c r="AN482" t="s">
        <v>98</v>
      </c>
      <c r="AO482" t="s">
        <v>98</v>
      </c>
      <c r="AP482" t="s">
        <v>99</v>
      </c>
      <c r="AQ482" t="s">
        <v>102</v>
      </c>
      <c r="AV482" t="s">
        <v>98</v>
      </c>
      <c r="AX482" t="s">
        <v>238</v>
      </c>
      <c r="BF482" t="s">
        <v>1582</v>
      </c>
      <c r="BG482" t="s">
        <v>98</v>
      </c>
      <c r="BH482" t="s">
        <v>98</v>
      </c>
      <c r="BI482" t="s">
        <v>98</v>
      </c>
      <c r="BK482" t="s">
        <v>138</v>
      </c>
      <c r="CA482" t="s">
        <v>1498</v>
      </c>
      <c r="CB482" t="s">
        <v>238</v>
      </c>
      <c r="CL482" t="s">
        <v>98</v>
      </c>
      <c r="CM482" t="s">
        <v>98</v>
      </c>
      <c r="CO482" s="1">
        <v>39728</v>
      </c>
      <c r="CP482" s="1">
        <v>43595</v>
      </c>
    </row>
    <row r="483" spans="1:94" x14ac:dyDescent="0.25">
      <c r="A483" s="4" t="s">
        <v>1583</v>
      </c>
      <c r="B483" t="str">
        <f xml:space="preserve"> "" &amp; 706411053160</f>
        <v>706411053160</v>
      </c>
      <c r="C483" t="s">
        <v>786</v>
      </c>
      <c r="D483" t="s">
        <v>1584</v>
      </c>
      <c r="F483" t="s">
        <v>135</v>
      </c>
      <c r="G483">
        <v>1</v>
      </c>
      <c r="H483">
        <v>1</v>
      </c>
      <c r="I483" t="s">
        <v>97</v>
      </c>
      <c r="J483" s="32">
        <v>18</v>
      </c>
      <c r="K483" s="32">
        <v>54</v>
      </c>
      <c r="L483">
        <v>0</v>
      </c>
      <c r="N483">
        <v>0</v>
      </c>
      <c r="S483">
        <v>36</v>
      </c>
      <c r="U483">
        <v>0.75</v>
      </c>
      <c r="V483">
        <v>0.2</v>
      </c>
      <c r="W483">
        <v>1.5</v>
      </c>
      <c r="X483">
        <v>1</v>
      </c>
      <c r="Y483">
        <v>2.63</v>
      </c>
      <c r="Z483">
        <v>36.5</v>
      </c>
      <c r="AA483">
        <v>5.5</v>
      </c>
      <c r="AB483">
        <v>0.31</v>
      </c>
      <c r="AC483">
        <v>2.262</v>
      </c>
      <c r="AK483" t="s">
        <v>98</v>
      </c>
      <c r="AM483" t="s">
        <v>98</v>
      </c>
      <c r="AN483" t="s">
        <v>98</v>
      </c>
      <c r="AO483" t="s">
        <v>98</v>
      </c>
      <c r="AP483" t="s">
        <v>99</v>
      </c>
      <c r="AQ483" t="s">
        <v>102</v>
      </c>
      <c r="AV483" t="s">
        <v>98</v>
      </c>
      <c r="BF483" t="s">
        <v>1585</v>
      </c>
      <c r="BG483" t="s">
        <v>98</v>
      </c>
      <c r="BH483" t="s">
        <v>98</v>
      </c>
      <c r="BI483" t="s">
        <v>98</v>
      </c>
      <c r="CL483" t="s">
        <v>98</v>
      </c>
      <c r="CM483" t="s">
        <v>98</v>
      </c>
      <c r="CP483" s="1">
        <v>43595</v>
      </c>
    </row>
    <row r="484" spans="1:94" x14ac:dyDescent="0.25">
      <c r="A484" s="4" t="s">
        <v>1586</v>
      </c>
      <c r="B484" t="str">
        <f xml:space="preserve"> "" &amp; 706411009969</f>
        <v>706411009969</v>
      </c>
      <c r="C484" t="s">
        <v>786</v>
      </c>
      <c r="D484" t="s">
        <v>1587</v>
      </c>
      <c r="F484" t="s">
        <v>135</v>
      </c>
      <c r="G484">
        <v>1</v>
      </c>
      <c r="H484">
        <v>1</v>
      </c>
      <c r="I484" t="s">
        <v>97</v>
      </c>
      <c r="J484" s="32">
        <v>18</v>
      </c>
      <c r="K484" s="32">
        <v>54</v>
      </c>
      <c r="L484">
        <v>0</v>
      </c>
      <c r="N484">
        <v>0</v>
      </c>
      <c r="S484">
        <v>36</v>
      </c>
      <c r="U484">
        <v>0.75</v>
      </c>
      <c r="V484">
        <v>0.2</v>
      </c>
      <c r="W484">
        <v>1.5</v>
      </c>
      <c r="X484">
        <v>1</v>
      </c>
      <c r="Y484">
        <v>2.63</v>
      </c>
      <c r="Z484">
        <v>36.5</v>
      </c>
      <c r="AA484">
        <v>5.5</v>
      </c>
      <c r="AB484">
        <v>0.31</v>
      </c>
      <c r="AC484">
        <v>2.262</v>
      </c>
      <c r="AK484" t="s">
        <v>98</v>
      </c>
      <c r="AM484" t="s">
        <v>98</v>
      </c>
      <c r="AN484" t="s">
        <v>98</v>
      </c>
      <c r="AO484" t="s">
        <v>98</v>
      </c>
      <c r="AP484" t="s">
        <v>99</v>
      </c>
      <c r="AQ484" t="s">
        <v>102</v>
      </c>
      <c r="AV484" t="s">
        <v>98</v>
      </c>
      <c r="AX484" t="s">
        <v>245</v>
      </c>
      <c r="BF484" t="s">
        <v>1588</v>
      </c>
      <c r="BG484" t="s">
        <v>98</v>
      </c>
      <c r="BH484" t="s">
        <v>98</v>
      </c>
      <c r="BI484" t="s">
        <v>98</v>
      </c>
      <c r="BK484" t="s">
        <v>138</v>
      </c>
      <c r="CA484" t="s">
        <v>1498</v>
      </c>
      <c r="CB484" t="s">
        <v>245</v>
      </c>
      <c r="CL484" t="s">
        <v>98</v>
      </c>
      <c r="CM484" t="s">
        <v>98</v>
      </c>
      <c r="CO484" s="1">
        <v>39728</v>
      </c>
      <c r="CP484" s="1">
        <v>43595</v>
      </c>
    </row>
    <row r="485" spans="1:94" x14ac:dyDescent="0.25">
      <c r="A485" s="4" t="s">
        <v>1589</v>
      </c>
      <c r="B485" t="str">
        <f xml:space="preserve"> "" &amp; 706411039539</f>
        <v>706411039539</v>
      </c>
      <c r="C485" t="s">
        <v>786</v>
      </c>
      <c r="D485" t="s">
        <v>1590</v>
      </c>
      <c r="F485" t="s">
        <v>135</v>
      </c>
      <c r="G485">
        <v>1</v>
      </c>
      <c r="H485">
        <v>1</v>
      </c>
      <c r="I485" t="s">
        <v>97</v>
      </c>
      <c r="J485" s="32">
        <v>18</v>
      </c>
      <c r="K485" s="32">
        <v>54</v>
      </c>
      <c r="L485">
        <v>0</v>
      </c>
      <c r="N485">
        <v>0</v>
      </c>
      <c r="S485">
        <v>36</v>
      </c>
      <c r="U485">
        <v>0.75</v>
      </c>
      <c r="V485">
        <v>0.2</v>
      </c>
      <c r="W485">
        <v>1.5</v>
      </c>
      <c r="X485">
        <v>1</v>
      </c>
      <c r="Y485">
        <v>2.63</v>
      </c>
      <c r="Z485">
        <v>36.5</v>
      </c>
      <c r="AA485">
        <v>5.5</v>
      </c>
      <c r="AB485">
        <v>0.31</v>
      </c>
      <c r="AC485">
        <v>2.262</v>
      </c>
      <c r="AK485" t="s">
        <v>98</v>
      </c>
      <c r="AM485" t="s">
        <v>98</v>
      </c>
      <c r="AN485" t="s">
        <v>98</v>
      </c>
      <c r="AO485" t="s">
        <v>98</v>
      </c>
      <c r="AP485" t="s">
        <v>99</v>
      </c>
      <c r="AQ485" t="s">
        <v>102</v>
      </c>
      <c r="AV485" t="s">
        <v>98</v>
      </c>
      <c r="AX485" t="s">
        <v>249</v>
      </c>
      <c r="BF485" t="s">
        <v>1591</v>
      </c>
      <c r="BG485" t="s">
        <v>98</v>
      </c>
      <c r="BH485" t="s">
        <v>98</v>
      </c>
      <c r="BI485" t="s">
        <v>98</v>
      </c>
      <c r="BK485" t="s">
        <v>138</v>
      </c>
      <c r="CA485" t="s">
        <v>1498</v>
      </c>
      <c r="CB485" t="s">
        <v>249</v>
      </c>
      <c r="CL485" t="s">
        <v>98</v>
      </c>
      <c r="CM485" t="s">
        <v>98</v>
      </c>
      <c r="CO485" s="1">
        <v>40841</v>
      </c>
      <c r="CP485" s="1">
        <v>43595</v>
      </c>
    </row>
    <row r="486" spans="1:94" x14ac:dyDescent="0.25">
      <c r="A486" s="4" t="s">
        <v>1592</v>
      </c>
      <c r="B486" t="str">
        <f xml:space="preserve"> "" &amp; 706411039072</f>
        <v>706411039072</v>
      </c>
      <c r="C486" t="s">
        <v>786</v>
      </c>
      <c r="D486" t="s">
        <v>1593</v>
      </c>
      <c r="F486" t="s">
        <v>135</v>
      </c>
      <c r="G486">
        <v>1</v>
      </c>
      <c r="H486">
        <v>1</v>
      </c>
      <c r="I486" t="s">
        <v>97</v>
      </c>
      <c r="J486" s="32">
        <v>18</v>
      </c>
      <c r="K486" s="32">
        <v>54</v>
      </c>
      <c r="L486">
        <v>0</v>
      </c>
      <c r="N486">
        <v>0</v>
      </c>
      <c r="S486">
        <v>36</v>
      </c>
      <c r="U486">
        <v>0.75</v>
      </c>
      <c r="V486">
        <v>0.2</v>
      </c>
      <c r="W486">
        <v>1.5</v>
      </c>
      <c r="X486">
        <v>1</v>
      </c>
      <c r="Y486">
        <v>2.63</v>
      </c>
      <c r="Z486">
        <v>36.5</v>
      </c>
      <c r="AA486">
        <v>5.5</v>
      </c>
      <c r="AB486">
        <v>0.31</v>
      </c>
      <c r="AC486">
        <v>2.262</v>
      </c>
      <c r="AK486" t="s">
        <v>98</v>
      </c>
      <c r="AM486" t="s">
        <v>98</v>
      </c>
      <c r="AN486" t="s">
        <v>98</v>
      </c>
      <c r="AO486" t="s">
        <v>98</v>
      </c>
      <c r="AP486" t="s">
        <v>99</v>
      </c>
      <c r="AQ486" t="s">
        <v>102</v>
      </c>
      <c r="AV486" t="s">
        <v>98</v>
      </c>
      <c r="AX486" t="s">
        <v>253</v>
      </c>
      <c r="BF486" t="s">
        <v>1594</v>
      </c>
      <c r="BG486" t="s">
        <v>98</v>
      </c>
      <c r="BH486" t="s">
        <v>98</v>
      </c>
      <c r="BI486" t="s">
        <v>98</v>
      </c>
      <c r="BK486" t="s">
        <v>138</v>
      </c>
      <c r="CA486" t="s">
        <v>1498</v>
      </c>
      <c r="CB486" t="s">
        <v>253</v>
      </c>
      <c r="CL486" t="s">
        <v>98</v>
      </c>
      <c r="CM486" t="s">
        <v>98</v>
      </c>
      <c r="CO486" s="1">
        <v>40841</v>
      </c>
      <c r="CP486" s="1">
        <v>43595</v>
      </c>
    </row>
    <row r="487" spans="1:94" x14ac:dyDescent="0.25">
      <c r="A487" s="4" t="s">
        <v>1595</v>
      </c>
      <c r="B487" t="str">
        <f xml:space="preserve"> "" &amp; 706411041600</f>
        <v>706411041600</v>
      </c>
      <c r="C487" t="s">
        <v>786</v>
      </c>
      <c r="D487" t="s">
        <v>1596</v>
      </c>
      <c r="F487" t="s">
        <v>135</v>
      </c>
      <c r="G487">
        <v>1</v>
      </c>
      <c r="H487">
        <v>1</v>
      </c>
      <c r="I487" t="s">
        <v>97</v>
      </c>
      <c r="J487" s="32">
        <v>18</v>
      </c>
      <c r="K487" s="32">
        <v>54</v>
      </c>
      <c r="L487">
        <v>0</v>
      </c>
      <c r="N487">
        <v>0</v>
      </c>
      <c r="S487">
        <v>36</v>
      </c>
      <c r="U487">
        <v>0.75</v>
      </c>
      <c r="V487">
        <v>0.2</v>
      </c>
      <c r="W487">
        <v>1.5</v>
      </c>
      <c r="X487">
        <v>1</v>
      </c>
      <c r="Y487">
        <v>2.63</v>
      </c>
      <c r="Z487">
        <v>36.5</v>
      </c>
      <c r="AA487">
        <v>5.5</v>
      </c>
      <c r="AB487">
        <v>0.31</v>
      </c>
      <c r="AC487">
        <v>2.262</v>
      </c>
      <c r="AK487" t="s">
        <v>98</v>
      </c>
      <c r="AM487" t="s">
        <v>98</v>
      </c>
      <c r="AN487" t="s">
        <v>98</v>
      </c>
      <c r="AO487" t="s">
        <v>98</v>
      </c>
      <c r="AP487" t="s">
        <v>99</v>
      </c>
      <c r="AQ487" t="s">
        <v>102</v>
      </c>
      <c r="AV487" t="s">
        <v>98</v>
      </c>
      <c r="AX487" t="s">
        <v>257</v>
      </c>
      <c r="BF487" t="s">
        <v>1597</v>
      </c>
      <c r="BG487" t="s">
        <v>98</v>
      </c>
      <c r="BH487" t="s">
        <v>98</v>
      </c>
      <c r="BI487" t="s">
        <v>98</v>
      </c>
      <c r="BK487" t="s">
        <v>138</v>
      </c>
      <c r="CA487" t="s">
        <v>1498</v>
      </c>
      <c r="CB487" t="s">
        <v>257</v>
      </c>
      <c r="CL487" t="s">
        <v>98</v>
      </c>
      <c r="CM487" t="s">
        <v>98</v>
      </c>
      <c r="CO487" s="1">
        <v>40841</v>
      </c>
      <c r="CP487" s="1">
        <v>43595</v>
      </c>
    </row>
    <row r="488" spans="1:94" x14ac:dyDescent="0.25">
      <c r="A488" s="4" t="s">
        <v>1598</v>
      </c>
      <c r="B488" t="str">
        <f xml:space="preserve"> "" &amp; 706411003257</f>
        <v>706411003257</v>
      </c>
      <c r="C488" t="s">
        <v>786</v>
      </c>
      <c r="D488" t="s">
        <v>1599</v>
      </c>
      <c r="F488" t="s">
        <v>135</v>
      </c>
      <c r="G488">
        <v>1</v>
      </c>
      <c r="H488">
        <v>1</v>
      </c>
      <c r="I488" t="s">
        <v>97</v>
      </c>
      <c r="J488" s="32">
        <v>18</v>
      </c>
      <c r="K488" s="32">
        <v>54</v>
      </c>
      <c r="L488">
        <v>0</v>
      </c>
      <c r="N488">
        <v>0</v>
      </c>
      <c r="S488">
        <v>36</v>
      </c>
      <c r="U488">
        <v>0.75</v>
      </c>
      <c r="V488">
        <v>0.2</v>
      </c>
      <c r="W488">
        <v>1.5</v>
      </c>
      <c r="X488">
        <v>1</v>
      </c>
      <c r="Y488">
        <v>2.63</v>
      </c>
      <c r="Z488">
        <v>36.5</v>
      </c>
      <c r="AA488">
        <v>5.5</v>
      </c>
      <c r="AB488">
        <v>0.31</v>
      </c>
      <c r="AC488">
        <v>2.262</v>
      </c>
      <c r="AK488" t="s">
        <v>98</v>
      </c>
      <c r="AM488" t="s">
        <v>98</v>
      </c>
      <c r="AN488" t="s">
        <v>98</v>
      </c>
      <c r="AO488" t="s">
        <v>98</v>
      </c>
      <c r="AP488" t="s">
        <v>99</v>
      </c>
      <c r="AQ488" t="s">
        <v>102</v>
      </c>
      <c r="AV488" t="s">
        <v>98</v>
      </c>
      <c r="AX488" t="s">
        <v>261</v>
      </c>
      <c r="BF488" t="s">
        <v>1600</v>
      </c>
      <c r="BG488" t="s">
        <v>98</v>
      </c>
      <c r="BH488" t="s">
        <v>98</v>
      </c>
      <c r="BI488" t="s">
        <v>98</v>
      </c>
      <c r="BK488" t="s">
        <v>138</v>
      </c>
      <c r="CA488" t="s">
        <v>1498</v>
      </c>
      <c r="CB488" t="s">
        <v>261</v>
      </c>
      <c r="CL488" t="s">
        <v>98</v>
      </c>
      <c r="CM488" t="s">
        <v>98</v>
      </c>
      <c r="CO488" s="1">
        <v>39728</v>
      </c>
      <c r="CP488" s="1">
        <v>43595</v>
      </c>
    </row>
    <row r="489" spans="1:94" x14ac:dyDescent="0.25">
      <c r="A489" s="4" t="s">
        <v>1601</v>
      </c>
      <c r="B489" t="str">
        <f xml:space="preserve"> "" &amp; 706411035890</f>
        <v>706411035890</v>
      </c>
      <c r="C489" t="s">
        <v>786</v>
      </c>
      <c r="D489" t="s">
        <v>1602</v>
      </c>
      <c r="F489" t="s">
        <v>135</v>
      </c>
      <c r="G489">
        <v>1</v>
      </c>
      <c r="H489">
        <v>1</v>
      </c>
      <c r="I489" t="s">
        <v>97</v>
      </c>
      <c r="J489" s="32">
        <v>18</v>
      </c>
      <c r="K489" s="32">
        <v>54</v>
      </c>
      <c r="L489">
        <v>0</v>
      </c>
      <c r="N489">
        <v>0</v>
      </c>
      <c r="S489">
        <v>36</v>
      </c>
      <c r="U489">
        <v>0.75</v>
      </c>
      <c r="V489">
        <v>0.2</v>
      </c>
      <c r="W489">
        <v>1.5</v>
      </c>
      <c r="X489">
        <v>1</v>
      </c>
      <c r="Y489">
        <v>2.63</v>
      </c>
      <c r="Z489">
        <v>36.5</v>
      </c>
      <c r="AA489">
        <v>5.5</v>
      </c>
      <c r="AB489">
        <v>0.31</v>
      </c>
      <c r="AC489">
        <v>2.262</v>
      </c>
      <c r="AK489" t="s">
        <v>98</v>
      </c>
      <c r="AM489" t="s">
        <v>98</v>
      </c>
      <c r="AN489" t="s">
        <v>98</v>
      </c>
      <c r="AO489" t="s">
        <v>98</v>
      </c>
      <c r="AP489" t="s">
        <v>99</v>
      </c>
      <c r="AQ489" t="s">
        <v>102</v>
      </c>
      <c r="AV489" t="s">
        <v>98</v>
      </c>
      <c r="AX489" t="s">
        <v>265</v>
      </c>
      <c r="BF489" t="s">
        <v>1603</v>
      </c>
      <c r="BG489" t="s">
        <v>98</v>
      </c>
      <c r="BH489" t="s">
        <v>98</v>
      </c>
      <c r="BI489" t="s">
        <v>98</v>
      </c>
      <c r="BK489" t="s">
        <v>138</v>
      </c>
      <c r="CA489" t="s">
        <v>1498</v>
      </c>
      <c r="CB489" t="s">
        <v>265</v>
      </c>
      <c r="CL489" t="s">
        <v>98</v>
      </c>
      <c r="CM489" t="s">
        <v>98</v>
      </c>
      <c r="CO489" s="1">
        <v>39728</v>
      </c>
      <c r="CP489" s="1">
        <v>43595</v>
      </c>
    </row>
    <row r="490" spans="1:94" x14ac:dyDescent="0.25">
      <c r="A490" s="4" t="s">
        <v>1604</v>
      </c>
      <c r="B490" t="str">
        <f xml:space="preserve"> "" &amp; 706411025112</f>
        <v>706411025112</v>
      </c>
      <c r="C490" t="s">
        <v>786</v>
      </c>
      <c r="D490" t="s">
        <v>4397</v>
      </c>
      <c r="F490" t="s">
        <v>135</v>
      </c>
      <c r="G490">
        <v>1</v>
      </c>
      <c r="H490">
        <v>1</v>
      </c>
      <c r="I490" t="s">
        <v>97</v>
      </c>
      <c r="J490" s="32">
        <v>18</v>
      </c>
      <c r="K490" s="32">
        <v>54</v>
      </c>
      <c r="L490">
        <v>0</v>
      </c>
      <c r="N490">
        <v>0</v>
      </c>
      <c r="S490">
        <v>36</v>
      </c>
      <c r="U490">
        <v>0.75</v>
      </c>
      <c r="V490">
        <v>0.2</v>
      </c>
      <c r="W490">
        <v>1.5</v>
      </c>
      <c r="X490">
        <v>1</v>
      </c>
      <c r="Y490">
        <v>2.63</v>
      </c>
      <c r="Z490">
        <v>36.5</v>
      </c>
      <c r="AA490">
        <v>5.5</v>
      </c>
      <c r="AB490">
        <v>0.31</v>
      </c>
      <c r="AC490">
        <v>2.262</v>
      </c>
      <c r="AK490" t="s">
        <v>98</v>
      </c>
      <c r="AM490" t="s">
        <v>98</v>
      </c>
      <c r="AN490" t="s">
        <v>98</v>
      </c>
      <c r="AO490" t="s">
        <v>98</v>
      </c>
      <c r="AP490" t="s">
        <v>99</v>
      </c>
      <c r="AQ490" t="s">
        <v>102</v>
      </c>
      <c r="AV490" t="s">
        <v>98</v>
      </c>
      <c r="AX490" t="s">
        <v>426</v>
      </c>
      <c r="BF490" t="s">
        <v>1605</v>
      </c>
      <c r="BG490" t="s">
        <v>98</v>
      </c>
      <c r="BH490" t="s">
        <v>98</v>
      </c>
      <c r="BI490" t="s">
        <v>98</v>
      </c>
      <c r="BK490" t="s">
        <v>138</v>
      </c>
      <c r="CA490" t="s">
        <v>1498</v>
      </c>
      <c r="CB490" t="s">
        <v>426</v>
      </c>
      <c r="CL490" t="s">
        <v>98</v>
      </c>
      <c r="CM490" t="s">
        <v>98</v>
      </c>
      <c r="CO490" s="1">
        <v>39728</v>
      </c>
      <c r="CP490" s="1">
        <v>43595</v>
      </c>
    </row>
    <row r="491" spans="1:94" x14ac:dyDescent="0.25">
      <c r="A491" s="4" t="s">
        <v>1606</v>
      </c>
      <c r="B491" t="str">
        <f xml:space="preserve"> "" &amp; 706411044656</f>
        <v>706411044656</v>
      </c>
      <c r="C491" t="s">
        <v>786</v>
      </c>
      <c r="D491" t="s">
        <v>1607</v>
      </c>
      <c r="F491" t="s">
        <v>135</v>
      </c>
      <c r="G491">
        <v>1</v>
      </c>
      <c r="H491">
        <v>1</v>
      </c>
      <c r="I491" t="s">
        <v>97</v>
      </c>
      <c r="J491" s="32">
        <v>18</v>
      </c>
      <c r="K491" s="32">
        <v>54</v>
      </c>
      <c r="L491">
        <v>0</v>
      </c>
      <c r="N491">
        <v>0</v>
      </c>
      <c r="S491">
        <v>36</v>
      </c>
      <c r="U491">
        <v>0.75</v>
      </c>
      <c r="V491">
        <v>0.2</v>
      </c>
      <c r="W491">
        <v>1.5</v>
      </c>
      <c r="X491">
        <v>1</v>
      </c>
      <c r="Y491">
        <v>2.63</v>
      </c>
      <c r="Z491">
        <v>36.5</v>
      </c>
      <c r="AA491">
        <v>5.5</v>
      </c>
      <c r="AB491">
        <v>0.31</v>
      </c>
      <c r="AC491">
        <v>2.262</v>
      </c>
      <c r="AK491" t="s">
        <v>98</v>
      </c>
      <c r="AM491" t="s">
        <v>98</v>
      </c>
      <c r="AN491" t="s">
        <v>98</v>
      </c>
      <c r="AO491" t="s">
        <v>98</v>
      </c>
      <c r="AP491" t="s">
        <v>99</v>
      </c>
      <c r="AQ491" t="s">
        <v>102</v>
      </c>
      <c r="AV491" t="s">
        <v>98</v>
      </c>
      <c r="AX491" t="s">
        <v>430</v>
      </c>
      <c r="BF491" t="s">
        <v>1608</v>
      </c>
      <c r="BG491" t="s">
        <v>98</v>
      </c>
      <c r="BH491" t="s">
        <v>98</v>
      </c>
      <c r="BI491" t="s">
        <v>98</v>
      </c>
      <c r="CB491" t="s">
        <v>430</v>
      </c>
      <c r="CL491" t="s">
        <v>98</v>
      </c>
      <c r="CM491" t="s">
        <v>98</v>
      </c>
      <c r="CP491" s="1">
        <v>43595</v>
      </c>
    </row>
    <row r="492" spans="1:94" x14ac:dyDescent="0.25">
      <c r="A492" s="4" t="s">
        <v>1609</v>
      </c>
      <c r="B492" t="str">
        <f xml:space="preserve"> "" &amp; 706411034824</f>
        <v>706411034824</v>
      </c>
      <c r="C492" t="s">
        <v>786</v>
      </c>
      <c r="D492" t="s">
        <v>1610</v>
      </c>
      <c r="F492" t="s">
        <v>135</v>
      </c>
      <c r="G492">
        <v>1</v>
      </c>
      <c r="H492">
        <v>1</v>
      </c>
      <c r="I492" t="s">
        <v>97</v>
      </c>
      <c r="J492" s="32">
        <v>18</v>
      </c>
      <c r="K492" s="32">
        <v>54</v>
      </c>
      <c r="L492">
        <v>0</v>
      </c>
      <c r="N492">
        <v>0</v>
      </c>
      <c r="S492">
        <v>36</v>
      </c>
      <c r="U492">
        <v>0.75</v>
      </c>
      <c r="V492">
        <v>0.2</v>
      </c>
      <c r="W492">
        <v>1.5</v>
      </c>
      <c r="X492">
        <v>1</v>
      </c>
      <c r="Y492">
        <v>2.63</v>
      </c>
      <c r="Z492">
        <v>36.5</v>
      </c>
      <c r="AA492">
        <v>5.5</v>
      </c>
      <c r="AB492">
        <v>0.31</v>
      </c>
      <c r="AC492">
        <v>2.262</v>
      </c>
      <c r="AK492" t="s">
        <v>98</v>
      </c>
      <c r="AM492" t="s">
        <v>98</v>
      </c>
      <c r="AN492" t="s">
        <v>98</v>
      </c>
      <c r="AO492" t="s">
        <v>98</v>
      </c>
      <c r="AP492" t="s">
        <v>99</v>
      </c>
      <c r="AQ492" t="s">
        <v>102</v>
      </c>
      <c r="AV492" t="s">
        <v>98</v>
      </c>
      <c r="AX492" t="s">
        <v>1149</v>
      </c>
      <c r="BF492" t="s">
        <v>1611</v>
      </c>
      <c r="BG492" t="s">
        <v>98</v>
      </c>
      <c r="BH492" t="s">
        <v>98</v>
      </c>
      <c r="BI492" t="s">
        <v>98</v>
      </c>
      <c r="BK492" t="s">
        <v>138</v>
      </c>
      <c r="CA492" t="s">
        <v>1498</v>
      </c>
      <c r="CB492" t="s">
        <v>1149</v>
      </c>
      <c r="CL492" t="s">
        <v>98</v>
      </c>
      <c r="CM492" t="s">
        <v>98</v>
      </c>
      <c r="CO492" s="1">
        <v>39728</v>
      </c>
      <c r="CP492" s="1">
        <v>43595</v>
      </c>
    </row>
    <row r="493" spans="1:94" x14ac:dyDescent="0.25">
      <c r="A493" s="4" t="s">
        <v>1612</v>
      </c>
      <c r="B493" t="str">
        <f xml:space="preserve"> "" &amp; 706411043246</f>
        <v>706411043246</v>
      </c>
      <c r="C493" t="s">
        <v>786</v>
      </c>
      <c r="D493" t="s">
        <v>1613</v>
      </c>
      <c r="F493" t="s">
        <v>135</v>
      </c>
      <c r="G493">
        <v>1</v>
      </c>
      <c r="H493">
        <v>1</v>
      </c>
      <c r="I493" t="s">
        <v>97</v>
      </c>
      <c r="J493" s="32">
        <v>18</v>
      </c>
      <c r="K493" s="32">
        <v>54</v>
      </c>
      <c r="L493">
        <v>0</v>
      </c>
      <c r="N493">
        <v>0</v>
      </c>
      <c r="S493">
        <v>36</v>
      </c>
      <c r="U493">
        <v>0.75</v>
      </c>
      <c r="V493">
        <v>0.2</v>
      </c>
      <c r="W493">
        <v>1.5</v>
      </c>
      <c r="X493">
        <v>1</v>
      </c>
      <c r="Y493">
        <v>2.63</v>
      </c>
      <c r="Z493">
        <v>36.5</v>
      </c>
      <c r="AA493">
        <v>5.5</v>
      </c>
      <c r="AB493">
        <v>0.31</v>
      </c>
      <c r="AC493">
        <v>2.262</v>
      </c>
      <c r="AK493" t="s">
        <v>98</v>
      </c>
      <c r="AM493" t="s">
        <v>98</v>
      </c>
      <c r="AN493" t="s">
        <v>98</v>
      </c>
      <c r="AO493" t="s">
        <v>98</v>
      </c>
      <c r="AP493" t="s">
        <v>99</v>
      </c>
      <c r="AQ493" t="s">
        <v>102</v>
      </c>
      <c r="AV493" t="s">
        <v>98</v>
      </c>
      <c r="AX493" t="s">
        <v>269</v>
      </c>
      <c r="BF493" t="s">
        <v>1614</v>
      </c>
      <c r="BG493" t="s">
        <v>98</v>
      </c>
      <c r="BH493" t="s">
        <v>98</v>
      </c>
      <c r="BI493" t="s">
        <v>98</v>
      </c>
      <c r="CB493" t="s">
        <v>269</v>
      </c>
      <c r="CL493" t="s">
        <v>98</v>
      </c>
      <c r="CM493" t="s">
        <v>98</v>
      </c>
      <c r="CP493" s="1">
        <v>43595</v>
      </c>
    </row>
    <row r="494" spans="1:94" x14ac:dyDescent="0.25">
      <c r="A494" s="4" t="s">
        <v>1615</v>
      </c>
      <c r="B494" t="str">
        <f xml:space="preserve"> "" &amp; 706411041891</f>
        <v>706411041891</v>
      </c>
      <c r="C494" t="s">
        <v>786</v>
      </c>
      <c r="D494" t="s">
        <v>1616</v>
      </c>
      <c r="F494" t="s">
        <v>135</v>
      </c>
      <c r="G494">
        <v>1</v>
      </c>
      <c r="H494">
        <v>1</v>
      </c>
      <c r="I494" t="s">
        <v>97</v>
      </c>
      <c r="J494" s="32">
        <v>18</v>
      </c>
      <c r="K494" s="32">
        <v>54</v>
      </c>
      <c r="L494">
        <v>0</v>
      </c>
      <c r="N494">
        <v>0</v>
      </c>
      <c r="S494">
        <v>36</v>
      </c>
      <c r="U494">
        <v>0.75</v>
      </c>
      <c r="V494">
        <v>0.2</v>
      </c>
      <c r="W494">
        <v>1.5</v>
      </c>
      <c r="X494">
        <v>1</v>
      </c>
      <c r="Y494">
        <v>2.63</v>
      </c>
      <c r="Z494">
        <v>36.5</v>
      </c>
      <c r="AA494">
        <v>5.5</v>
      </c>
      <c r="AB494">
        <v>0.31</v>
      </c>
      <c r="AC494">
        <v>2.262</v>
      </c>
      <c r="AK494" t="s">
        <v>98</v>
      </c>
      <c r="AM494" t="s">
        <v>98</v>
      </c>
      <c r="AN494" t="s">
        <v>98</v>
      </c>
      <c r="AO494" t="s">
        <v>98</v>
      </c>
      <c r="AP494" t="s">
        <v>99</v>
      </c>
      <c r="AQ494" t="s">
        <v>102</v>
      </c>
      <c r="AV494" t="s">
        <v>98</v>
      </c>
      <c r="AX494" t="s">
        <v>441</v>
      </c>
      <c r="BF494" t="s">
        <v>1617</v>
      </c>
      <c r="BG494" t="s">
        <v>98</v>
      </c>
      <c r="BH494" t="s">
        <v>98</v>
      </c>
      <c r="BI494" t="s">
        <v>98</v>
      </c>
      <c r="BK494" t="s">
        <v>138</v>
      </c>
      <c r="CA494" t="s">
        <v>1498</v>
      </c>
      <c r="CB494" t="s">
        <v>441</v>
      </c>
      <c r="CL494" t="s">
        <v>98</v>
      </c>
      <c r="CM494" t="s">
        <v>98</v>
      </c>
      <c r="CO494" s="1">
        <v>40728</v>
      </c>
      <c r="CP494" s="1">
        <v>43595</v>
      </c>
    </row>
    <row r="495" spans="1:94" x14ac:dyDescent="0.25">
      <c r="A495" s="4" t="s">
        <v>1618</v>
      </c>
      <c r="B495" t="str">
        <f xml:space="preserve"> "" &amp; 706411029349</f>
        <v>706411029349</v>
      </c>
      <c r="C495" t="s">
        <v>786</v>
      </c>
      <c r="D495" t="s">
        <v>1619</v>
      </c>
      <c r="F495" t="s">
        <v>135</v>
      </c>
      <c r="G495">
        <v>1</v>
      </c>
      <c r="H495">
        <v>1</v>
      </c>
      <c r="I495" t="s">
        <v>97</v>
      </c>
      <c r="J495" s="32">
        <v>18</v>
      </c>
      <c r="K495" s="32">
        <v>54</v>
      </c>
      <c r="L495">
        <v>0</v>
      </c>
      <c r="N495">
        <v>0</v>
      </c>
      <c r="S495">
        <v>36</v>
      </c>
      <c r="U495">
        <v>0.75</v>
      </c>
      <c r="V495">
        <v>0.2</v>
      </c>
      <c r="W495">
        <v>1.5</v>
      </c>
      <c r="X495">
        <v>1</v>
      </c>
      <c r="Y495">
        <v>2.63</v>
      </c>
      <c r="Z495">
        <v>36.5</v>
      </c>
      <c r="AA495">
        <v>5.5</v>
      </c>
      <c r="AB495">
        <v>0.31</v>
      </c>
      <c r="AC495">
        <v>2.262</v>
      </c>
      <c r="AK495" t="s">
        <v>98</v>
      </c>
      <c r="AM495" t="s">
        <v>98</v>
      </c>
      <c r="AN495" t="s">
        <v>98</v>
      </c>
      <c r="AO495" t="s">
        <v>98</v>
      </c>
      <c r="AP495" t="s">
        <v>99</v>
      </c>
      <c r="AQ495" t="s">
        <v>102</v>
      </c>
      <c r="AV495" t="s">
        <v>98</v>
      </c>
      <c r="AX495" t="s">
        <v>273</v>
      </c>
      <c r="BF495" t="s">
        <v>1620</v>
      </c>
      <c r="BG495" t="s">
        <v>98</v>
      </c>
      <c r="BH495" t="s">
        <v>98</v>
      </c>
      <c r="BI495" t="s">
        <v>98</v>
      </c>
      <c r="BK495" t="s">
        <v>138</v>
      </c>
      <c r="CA495" t="s">
        <v>1498</v>
      </c>
      <c r="CB495" t="s">
        <v>273</v>
      </c>
      <c r="CL495" t="s">
        <v>98</v>
      </c>
      <c r="CM495" t="s">
        <v>98</v>
      </c>
      <c r="CO495" s="1">
        <v>39728</v>
      </c>
      <c r="CP495" s="1">
        <v>43595</v>
      </c>
    </row>
    <row r="496" spans="1:94" x14ac:dyDescent="0.25">
      <c r="A496" s="4" t="s">
        <v>1621</v>
      </c>
      <c r="B496" t="str">
        <f xml:space="preserve"> "" &amp; 706411025815</f>
        <v>706411025815</v>
      </c>
      <c r="C496" t="s">
        <v>786</v>
      </c>
      <c r="D496" t="s">
        <v>1622</v>
      </c>
      <c r="F496" t="s">
        <v>135</v>
      </c>
      <c r="G496">
        <v>1</v>
      </c>
      <c r="H496">
        <v>1</v>
      </c>
      <c r="I496" t="s">
        <v>97</v>
      </c>
      <c r="J496" s="32">
        <v>18</v>
      </c>
      <c r="K496" s="32">
        <v>54</v>
      </c>
      <c r="L496">
        <v>0</v>
      </c>
      <c r="N496">
        <v>0</v>
      </c>
      <c r="S496">
        <v>36</v>
      </c>
      <c r="U496">
        <v>0.75</v>
      </c>
      <c r="V496">
        <v>0.2</v>
      </c>
      <c r="W496">
        <v>1.5</v>
      </c>
      <c r="X496">
        <v>1</v>
      </c>
      <c r="Y496">
        <v>2.63</v>
      </c>
      <c r="Z496">
        <v>36.5</v>
      </c>
      <c r="AA496">
        <v>5.5</v>
      </c>
      <c r="AB496">
        <v>0.31</v>
      </c>
      <c r="AC496">
        <v>2.262</v>
      </c>
      <c r="AK496" t="s">
        <v>98</v>
      </c>
      <c r="AM496" t="s">
        <v>98</v>
      </c>
      <c r="AN496" t="s">
        <v>98</v>
      </c>
      <c r="AO496" t="s">
        <v>98</v>
      </c>
      <c r="AP496" t="s">
        <v>99</v>
      </c>
      <c r="AQ496" t="s">
        <v>102</v>
      </c>
      <c r="AV496" t="s">
        <v>98</v>
      </c>
      <c r="AX496" t="s">
        <v>277</v>
      </c>
      <c r="BF496" t="s">
        <v>1623</v>
      </c>
      <c r="BG496" t="s">
        <v>98</v>
      </c>
      <c r="BH496" t="s">
        <v>98</v>
      </c>
      <c r="BI496" t="s">
        <v>98</v>
      </c>
      <c r="CB496" t="s">
        <v>277</v>
      </c>
      <c r="CL496" t="s">
        <v>98</v>
      </c>
      <c r="CM496" t="s">
        <v>98</v>
      </c>
      <c r="CP496" s="1">
        <v>43595</v>
      </c>
    </row>
    <row r="497" spans="1:94" x14ac:dyDescent="0.25">
      <c r="A497" s="4" t="s">
        <v>1624</v>
      </c>
      <c r="B497" t="str">
        <f xml:space="preserve"> "" &amp; 706411061455</f>
        <v>706411061455</v>
      </c>
      <c r="C497" t="s">
        <v>786</v>
      </c>
      <c r="D497" t="s">
        <v>1625</v>
      </c>
      <c r="F497" t="s">
        <v>135</v>
      </c>
      <c r="G497">
        <v>1</v>
      </c>
      <c r="H497">
        <v>1</v>
      </c>
      <c r="I497" t="s">
        <v>97</v>
      </c>
      <c r="J497" s="32">
        <v>18</v>
      </c>
      <c r="K497" s="32">
        <v>54</v>
      </c>
      <c r="L497">
        <v>0</v>
      </c>
      <c r="N497">
        <v>0</v>
      </c>
      <c r="S497">
        <v>36</v>
      </c>
      <c r="U497">
        <v>0.75</v>
      </c>
      <c r="V497">
        <v>0.2</v>
      </c>
      <c r="W497">
        <v>1.5</v>
      </c>
      <c r="X497">
        <v>1</v>
      </c>
      <c r="Y497">
        <v>2.63</v>
      </c>
      <c r="Z497">
        <v>36.5</v>
      </c>
      <c r="AA497">
        <v>5.5</v>
      </c>
      <c r="AB497">
        <v>0.31</v>
      </c>
      <c r="AC497">
        <v>2.262</v>
      </c>
      <c r="AK497" t="s">
        <v>98</v>
      </c>
      <c r="AM497" t="s">
        <v>98</v>
      </c>
      <c r="AN497" t="s">
        <v>98</v>
      </c>
      <c r="AO497" t="s">
        <v>98</v>
      </c>
      <c r="AP497" t="s">
        <v>99</v>
      </c>
      <c r="AQ497" t="s">
        <v>102</v>
      </c>
      <c r="AV497" t="s">
        <v>98</v>
      </c>
      <c r="AX497" t="s">
        <v>281</v>
      </c>
      <c r="BF497" t="s">
        <v>1626</v>
      </c>
      <c r="BG497" t="s">
        <v>98</v>
      </c>
      <c r="BH497" t="s">
        <v>98</v>
      </c>
      <c r="BI497" t="s">
        <v>98</v>
      </c>
      <c r="BK497" t="s">
        <v>138</v>
      </c>
      <c r="CA497" t="s">
        <v>1498</v>
      </c>
      <c r="CB497" t="s">
        <v>281</v>
      </c>
      <c r="CL497" t="s">
        <v>98</v>
      </c>
      <c r="CM497" t="s">
        <v>98</v>
      </c>
      <c r="CN497" t="s">
        <v>349</v>
      </c>
      <c r="CO497" s="1">
        <v>43388</v>
      </c>
      <c r="CP497" s="1">
        <v>43595</v>
      </c>
    </row>
    <row r="498" spans="1:94" x14ac:dyDescent="0.25">
      <c r="A498" s="4" t="s">
        <v>1627</v>
      </c>
      <c r="B498" t="str">
        <f xml:space="preserve"> "" &amp; 706411019944</f>
        <v>706411019944</v>
      </c>
      <c r="C498" t="s">
        <v>786</v>
      </c>
      <c r="D498" t="s">
        <v>4398</v>
      </c>
      <c r="F498" t="s">
        <v>135</v>
      </c>
      <c r="G498">
        <v>1</v>
      </c>
      <c r="H498">
        <v>1</v>
      </c>
      <c r="I498" t="s">
        <v>97</v>
      </c>
      <c r="J498" s="32">
        <v>18</v>
      </c>
      <c r="K498" s="32">
        <v>54</v>
      </c>
      <c r="L498">
        <v>0</v>
      </c>
      <c r="N498">
        <v>0</v>
      </c>
      <c r="S498">
        <v>36</v>
      </c>
      <c r="U498">
        <v>0.75</v>
      </c>
      <c r="V498">
        <v>0.2</v>
      </c>
      <c r="W498">
        <v>1.5</v>
      </c>
      <c r="X498">
        <v>1</v>
      </c>
      <c r="Y498">
        <v>2.63</v>
      </c>
      <c r="Z498">
        <v>36.5</v>
      </c>
      <c r="AA498">
        <v>5.5</v>
      </c>
      <c r="AB498">
        <v>0.31</v>
      </c>
      <c r="AC498">
        <v>2.262</v>
      </c>
      <c r="AK498" t="s">
        <v>98</v>
      </c>
      <c r="AM498" t="s">
        <v>98</v>
      </c>
      <c r="AN498" t="s">
        <v>98</v>
      </c>
      <c r="AO498" t="s">
        <v>98</v>
      </c>
      <c r="AP498" t="s">
        <v>99</v>
      </c>
      <c r="AQ498" t="s">
        <v>102</v>
      </c>
      <c r="AV498" t="s">
        <v>98</v>
      </c>
      <c r="AX498" t="s">
        <v>284</v>
      </c>
      <c r="BF498" t="s">
        <v>1628</v>
      </c>
      <c r="BG498" t="s">
        <v>98</v>
      </c>
      <c r="BH498" t="s">
        <v>98</v>
      </c>
      <c r="BI498" t="s">
        <v>98</v>
      </c>
      <c r="BK498" t="s">
        <v>138</v>
      </c>
      <c r="CA498" t="s">
        <v>1498</v>
      </c>
      <c r="CB498" t="s">
        <v>284</v>
      </c>
      <c r="CL498" t="s">
        <v>98</v>
      </c>
      <c r="CM498" t="s">
        <v>98</v>
      </c>
      <c r="CO498" s="1">
        <v>39728</v>
      </c>
      <c r="CP498" s="1">
        <v>43595</v>
      </c>
    </row>
    <row r="499" spans="1:94" x14ac:dyDescent="0.25">
      <c r="A499" s="4" t="s">
        <v>1629</v>
      </c>
      <c r="B499" t="str">
        <f xml:space="preserve"> "" &amp; 706411062414</f>
        <v>706411062414</v>
      </c>
      <c r="C499" t="s">
        <v>786</v>
      </c>
      <c r="D499" t="s">
        <v>1630</v>
      </c>
      <c r="F499" t="s">
        <v>135</v>
      </c>
      <c r="G499">
        <v>1</v>
      </c>
      <c r="H499">
        <v>1</v>
      </c>
      <c r="I499" t="s">
        <v>97</v>
      </c>
      <c r="J499" s="32">
        <v>18</v>
      </c>
      <c r="K499" s="32">
        <v>54</v>
      </c>
      <c r="L499">
        <v>0</v>
      </c>
      <c r="N499">
        <v>0</v>
      </c>
      <c r="S499">
        <v>36</v>
      </c>
      <c r="U499">
        <v>0.75</v>
      </c>
      <c r="V499">
        <v>0.2</v>
      </c>
      <c r="W499">
        <v>1.5</v>
      </c>
      <c r="X499">
        <v>1</v>
      </c>
      <c r="Y499">
        <v>2.63</v>
      </c>
      <c r="Z499">
        <v>36.5</v>
      </c>
      <c r="AA499">
        <v>5.5</v>
      </c>
      <c r="AB499">
        <v>0.31</v>
      </c>
      <c r="AC499">
        <v>2.262</v>
      </c>
      <c r="AK499" t="s">
        <v>98</v>
      </c>
      <c r="AM499" t="s">
        <v>98</v>
      </c>
      <c r="AN499" t="s">
        <v>98</v>
      </c>
      <c r="AO499" t="s">
        <v>98</v>
      </c>
      <c r="AP499" t="s">
        <v>99</v>
      </c>
      <c r="AQ499" t="s">
        <v>102</v>
      </c>
      <c r="AV499" t="s">
        <v>98</v>
      </c>
      <c r="AX499" t="s">
        <v>289</v>
      </c>
      <c r="BF499" t="s">
        <v>1631</v>
      </c>
      <c r="BG499" t="s">
        <v>98</v>
      </c>
      <c r="BH499" t="s">
        <v>98</v>
      </c>
      <c r="BI499" t="s">
        <v>98</v>
      </c>
      <c r="BJ499" t="s">
        <v>291</v>
      </c>
      <c r="BK499" t="s">
        <v>292</v>
      </c>
      <c r="CA499" t="s">
        <v>1498</v>
      </c>
      <c r="CB499" t="s">
        <v>289</v>
      </c>
      <c r="CL499" t="s">
        <v>98</v>
      </c>
      <c r="CM499" t="s">
        <v>98</v>
      </c>
      <c r="CN499" t="s">
        <v>349</v>
      </c>
      <c r="CO499" s="1">
        <v>43571</v>
      </c>
      <c r="CP499" s="1">
        <v>43588</v>
      </c>
    </row>
    <row r="500" spans="1:94" x14ac:dyDescent="0.25">
      <c r="A500" s="4" t="s">
        <v>1632</v>
      </c>
      <c r="B500" t="str">
        <f xml:space="preserve"> "" &amp; 706411300783</f>
        <v>706411300783</v>
      </c>
      <c r="C500" t="s">
        <v>786</v>
      </c>
      <c r="D500" t="s">
        <v>4400</v>
      </c>
      <c r="F500" t="s">
        <v>135</v>
      </c>
      <c r="G500">
        <v>1</v>
      </c>
      <c r="H500">
        <v>1</v>
      </c>
      <c r="I500" t="s">
        <v>97</v>
      </c>
      <c r="J500" s="32">
        <v>18</v>
      </c>
      <c r="K500" s="32">
        <v>54</v>
      </c>
      <c r="L500">
        <v>0</v>
      </c>
      <c r="N500">
        <v>0</v>
      </c>
      <c r="S500">
        <v>36</v>
      </c>
      <c r="U500">
        <v>0.75</v>
      </c>
      <c r="V500">
        <v>0.2</v>
      </c>
      <c r="W500">
        <v>1.5</v>
      </c>
      <c r="X500">
        <v>1</v>
      </c>
      <c r="Y500">
        <v>2.63</v>
      </c>
      <c r="Z500">
        <v>36.5</v>
      </c>
      <c r="AA500">
        <v>5.5</v>
      </c>
      <c r="AB500">
        <v>0.31</v>
      </c>
      <c r="AC500">
        <v>2.262</v>
      </c>
      <c r="AK500" t="s">
        <v>98</v>
      </c>
      <c r="AM500" t="s">
        <v>98</v>
      </c>
      <c r="AN500" t="s">
        <v>98</v>
      </c>
      <c r="AO500" t="s">
        <v>98</v>
      </c>
      <c r="AP500" t="s">
        <v>99</v>
      </c>
      <c r="AQ500" t="s">
        <v>102</v>
      </c>
      <c r="AV500" t="s">
        <v>98</v>
      </c>
      <c r="AX500" t="s">
        <v>458</v>
      </c>
      <c r="BF500" t="s">
        <v>1633</v>
      </c>
      <c r="BG500" t="s">
        <v>98</v>
      </c>
      <c r="BH500" t="s">
        <v>98</v>
      </c>
      <c r="BI500" t="s">
        <v>98</v>
      </c>
      <c r="BK500" t="s">
        <v>138</v>
      </c>
      <c r="CA500" t="s">
        <v>1498</v>
      </c>
      <c r="CB500" t="s">
        <v>458</v>
      </c>
      <c r="CL500" t="s">
        <v>98</v>
      </c>
      <c r="CM500" t="s">
        <v>98</v>
      </c>
      <c r="CO500" s="1">
        <v>39728</v>
      </c>
      <c r="CP500" s="1">
        <v>43595</v>
      </c>
    </row>
    <row r="501" spans="1:94" x14ac:dyDescent="0.25">
      <c r="A501" s="4" t="s">
        <v>1634</v>
      </c>
      <c r="B501" t="str">
        <f xml:space="preserve"> "" &amp; 706411043253</f>
        <v>706411043253</v>
      </c>
      <c r="C501" t="s">
        <v>786</v>
      </c>
      <c r="D501" t="s">
        <v>1635</v>
      </c>
      <c r="F501" t="s">
        <v>135</v>
      </c>
      <c r="G501">
        <v>1</v>
      </c>
      <c r="H501">
        <v>1</v>
      </c>
      <c r="I501" t="s">
        <v>97</v>
      </c>
      <c r="J501" s="32">
        <v>18</v>
      </c>
      <c r="K501" s="32">
        <v>54</v>
      </c>
      <c r="L501">
        <v>0</v>
      </c>
      <c r="N501">
        <v>0</v>
      </c>
      <c r="S501">
        <v>36</v>
      </c>
      <c r="U501">
        <v>0.75</v>
      </c>
      <c r="V501">
        <v>0.2</v>
      </c>
      <c r="W501">
        <v>1.5</v>
      </c>
      <c r="X501">
        <v>1</v>
      </c>
      <c r="Y501">
        <v>2.63</v>
      </c>
      <c r="Z501">
        <v>36.5</v>
      </c>
      <c r="AA501">
        <v>5.5</v>
      </c>
      <c r="AB501">
        <v>0.31</v>
      </c>
      <c r="AC501">
        <v>2.262</v>
      </c>
      <c r="AK501" t="s">
        <v>98</v>
      </c>
      <c r="AM501" t="s">
        <v>98</v>
      </c>
      <c r="AN501" t="s">
        <v>98</v>
      </c>
      <c r="AO501" t="s">
        <v>98</v>
      </c>
      <c r="AP501" t="s">
        <v>99</v>
      </c>
      <c r="AQ501" t="s">
        <v>102</v>
      </c>
      <c r="AV501" t="s">
        <v>98</v>
      </c>
      <c r="AX501" t="s">
        <v>295</v>
      </c>
      <c r="BF501" t="s">
        <v>1636</v>
      </c>
      <c r="BG501" t="s">
        <v>98</v>
      </c>
      <c r="BH501" t="s">
        <v>98</v>
      </c>
      <c r="BI501" t="s">
        <v>98</v>
      </c>
      <c r="CB501" t="s">
        <v>295</v>
      </c>
      <c r="CL501" t="s">
        <v>98</v>
      </c>
      <c r="CM501" t="s">
        <v>98</v>
      </c>
      <c r="CP501" s="1">
        <v>43595</v>
      </c>
    </row>
    <row r="502" spans="1:94" x14ac:dyDescent="0.25">
      <c r="A502" s="4" t="s">
        <v>1637</v>
      </c>
      <c r="B502" t="str">
        <f xml:space="preserve"> "" &amp; 706411019951</f>
        <v>706411019951</v>
      </c>
      <c r="C502" t="s">
        <v>786</v>
      </c>
      <c r="D502" t="s">
        <v>4399</v>
      </c>
      <c r="F502" t="s">
        <v>135</v>
      </c>
      <c r="G502">
        <v>1</v>
      </c>
      <c r="H502">
        <v>1</v>
      </c>
      <c r="I502" t="s">
        <v>97</v>
      </c>
      <c r="J502" s="32">
        <v>18</v>
      </c>
      <c r="K502" s="32">
        <v>54</v>
      </c>
      <c r="L502">
        <v>0</v>
      </c>
      <c r="N502">
        <v>0</v>
      </c>
      <c r="S502">
        <v>36</v>
      </c>
      <c r="U502">
        <v>0.75</v>
      </c>
      <c r="V502">
        <v>0.2</v>
      </c>
      <c r="W502">
        <v>1.5</v>
      </c>
      <c r="X502">
        <v>1</v>
      </c>
      <c r="Y502">
        <v>2.63</v>
      </c>
      <c r="Z502">
        <v>36.5</v>
      </c>
      <c r="AA502">
        <v>5.5</v>
      </c>
      <c r="AB502">
        <v>0.31</v>
      </c>
      <c r="AC502">
        <v>2.262</v>
      </c>
      <c r="AK502" t="s">
        <v>98</v>
      </c>
      <c r="AM502" t="s">
        <v>98</v>
      </c>
      <c r="AN502" t="s">
        <v>98</v>
      </c>
      <c r="AO502" t="s">
        <v>98</v>
      </c>
      <c r="AP502" t="s">
        <v>99</v>
      </c>
      <c r="AQ502" t="s">
        <v>102</v>
      </c>
      <c r="AV502" t="s">
        <v>98</v>
      </c>
      <c r="AX502" t="s">
        <v>298</v>
      </c>
      <c r="BF502" t="s">
        <v>1638</v>
      </c>
      <c r="BG502" t="s">
        <v>98</v>
      </c>
      <c r="BH502" t="s">
        <v>98</v>
      </c>
      <c r="BI502" t="s">
        <v>98</v>
      </c>
      <c r="BK502" t="s">
        <v>138</v>
      </c>
      <c r="CA502" t="s">
        <v>1498</v>
      </c>
      <c r="CB502" t="s">
        <v>298</v>
      </c>
      <c r="CL502" t="s">
        <v>98</v>
      </c>
      <c r="CM502" t="s">
        <v>98</v>
      </c>
      <c r="CO502" s="1">
        <v>39728</v>
      </c>
      <c r="CP502" s="1">
        <v>43595</v>
      </c>
    </row>
    <row r="503" spans="1:94" x14ac:dyDescent="0.25">
      <c r="A503" s="4" t="s">
        <v>1639</v>
      </c>
      <c r="B503" t="str">
        <f xml:space="preserve"> "" &amp; 706411055164</f>
        <v>706411055164</v>
      </c>
      <c r="C503" t="s">
        <v>786</v>
      </c>
      <c r="D503" t="s">
        <v>1640</v>
      </c>
      <c r="F503" t="s">
        <v>135</v>
      </c>
      <c r="G503">
        <v>1</v>
      </c>
      <c r="H503">
        <v>1</v>
      </c>
      <c r="I503" t="s">
        <v>97</v>
      </c>
      <c r="J503" s="32">
        <v>18</v>
      </c>
      <c r="K503" s="32">
        <v>54</v>
      </c>
      <c r="L503">
        <v>0</v>
      </c>
      <c r="N503">
        <v>0</v>
      </c>
      <c r="S503">
        <v>36</v>
      </c>
      <c r="U503">
        <v>0.75</v>
      </c>
      <c r="V503">
        <v>0.2</v>
      </c>
      <c r="W503">
        <v>1.5</v>
      </c>
      <c r="X503">
        <v>1</v>
      </c>
      <c r="Y503">
        <v>2.63</v>
      </c>
      <c r="Z503">
        <v>36.5</v>
      </c>
      <c r="AA503">
        <v>5.5</v>
      </c>
      <c r="AB503">
        <v>0.31</v>
      </c>
      <c r="AC503">
        <v>22.66</v>
      </c>
      <c r="AK503" t="s">
        <v>98</v>
      </c>
      <c r="AM503" t="s">
        <v>98</v>
      </c>
      <c r="AN503" t="s">
        <v>98</v>
      </c>
      <c r="AO503" t="s">
        <v>98</v>
      </c>
      <c r="AP503" t="s">
        <v>99</v>
      </c>
      <c r="AQ503" t="s">
        <v>102</v>
      </c>
      <c r="AV503" t="s">
        <v>98</v>
      </c>
      <c r="AX503" t="s">
        <v>956</v>
      </c>
      <c r="AZ503" t="s">
        <v>109</v>
      </c>
      <c r="BF503" t="s">
        <v>1641</v>
      </c>
      <c r="BG503" t="s">
        <v>98</v>
      </c>
      <c r="BH503" t="s">
        <v>98</v>
      </c>
      <c r="BI503" t="s">
        <v>98</v>
      </c>
      <c r="BJ503" t="s">
        <v>291</v>
      </c>
      <c r="BK503" t="s">
        <v>292</v>
      </c>
      <c r="CA503" t="s">
        <v>1498</v>
      </c>
      <c r="CB503" t="s">
        <v>956</v>
      </c>
      <c r="CL503" t="s">
        <v>98</v>
      </c>
      <c r="CM503" t="s">
        <v>98</v>
      </c>
      <c r="CN503" t="s">
        <v>349</v>
      </c>
      <c r="CO503" s="1">
        <v>42599</v>
      </c>
      <c r="CP503" s="1">
        <v>43595</v>
      </c>
    </row>
    <row r="504" spans="1:94" x14ac:dyDescent="0.25">
      <c r="A504" s="4" t="s">
        <v>1642</v>
      </c>
      <c r="B504" t="str">
        <f xml:space="preserve"> "" &amp; 706411020407</f>
        <v>706411020407</v>
      </c>
      <c r="C504" t="s">
        <v>786</v>
      </c>
      <c r="D504" t="s">
        <v>1643</v>
      </c>
      <c r="F504" t="s">
        <v>135</v>
      </c>
      <c r="G504">
        <v>1</v>
      </c>
      <c r="H504">
        <v>1</v>
      </c>
      <c r="I504" t="s">
        <v>97</v>
      </c>
      <c r="J504" s="32">
        <v>18</v>
      </c>
      <c r="K504" s="32">
        <v>54</v>
      </c>
      <c r="L504">
        <v>0</v>
      </c>
      <c r="N504">
        <v>0</v>
      </c>
      <c r="S504">
        <v>36</v>
      </c>
      <c r="U504">
        <v>0.75</v>
      </c>
      <c r="V504">
        <v>0.2</v>
      </c>
      <c r="W504">
        <v>1.5</v>
      </c>
      <c r="X504">
        <v>1</v>
      </c>
      <c r="Y504">
        <v>2.63</v>
      </c>
      <c r="Z504">
        <v>36.5</v>
      </c>
      <c r="AA504">
        <v>5.5</v>
      </c>
      <c r="AB504">
        <v>0.31</v>
      </c>
      <c r="AC504">
        <v>2.262</v>
      </c>
      <c r="AK504" t="s">
        <v>98</v>
      </c>
      <c r="AM504" t="s">
        <v>98</v>
      </c>
      <c r="AN504" t="s">
        <v>98</v>
      </c>
      <c r="AO504" t="s">
        <v>98</v>
      </c>
      <c r="AP504" t="s">
        <v>99</v>
      </c>
      <c r="AQ504" t="s">
        <v>102</v>
      </c>
      <c r="AV504" t="s">
        <v>98</v>
      </c>
      <c r="AX504" t="s">
        <v>306</v>
      </c>
      <c r="BF504" t="s">
        <v>1644</v>
      </c>
      <c r="BG504" t="s">
        <v>98</v>
      </c>
      <c r="BH504" t="s">
        <v>98</v>
      </c>
      <c r="BI504" t="s">
        <v>98</v>
      </c>
      <c r="BK504" t="s">
        <v>138</v>
      </c>
      <c r="CA504" t="s">
        <v>1498</v>
      </c>
      <c r="CB504" t="s">
        <v>306</v>
      </c>
      <c r="CL504" t="s">
        <v>98</v>
      </c>
      <c r="CM504" t="s">
        <v>98</v>
      </c>
      <c r="CO504" s="1">
        <v>39728</v>
      </c>
      <c r="CP504" s="1">
        <v>43595</v>
      </c>
    </row>
    <row r="505" spans="1:94" x14ac:dyDescent="0.25">
      <c r="A505" s="4" t="s">
        <v>1645</v>
      </c>
      <c r="B505" t="str">
        <f xml:space="preserve"> "" &amp; 706411003264</f>
        <v>706411003264</v>
      </c>
      <c r="C505" t="s">
        <v>786</v>
      </c>
      <c r="D505" t="s">
        <v>1646</v>
      </c>
      <c r="F505" t="s">
        <v>135</v>
      </c>
      <c r="G505">
        <v>1</v>
      </c>
      <c r="H505">
        <v>1</v>
      </c>
      <c r="I505" t="s">
        <v>97</v>
      </c>
      <c r="J505" s="32">
        <v>24</v>
      </c>
      <c r="K505" s="32">
        <v>72</v>
      </c>
      <c r="L505">
        <v>0</v>
      </c>
      <c r="N505">
        <v>0</v>
      </c>
      <c r="S505">
        <v>48</v>
      </c>
      <c r="U505">
        <v>0.75</v>
      </c>
      <c r="V505">
        <v>0.2</v>
      </c>
      <c r="W505">
        <v>2.98</v>
      </c>
      <c r="X505">
        <v>1</v>
      </c>
      <c r="Y505">
        <v>2.63</v>
      </c>
      <c r="Z505">
        <v>48.5</v>
      </c>
      <c r="AA505">
        <v>5.5</v>
      </c>
      <c r="AB505">
        <v>0.41</v>
      </c>
      <c r="AC505">
        <v>3.036</v>
      </c>
      <c r="AK505" t="s">
        <v>98</v>
      </c>
      <c r="AM505" t="s">
        <v>98</v>
      </c>
      <c r="AN505" t="s">
        <v>98</v>
      </c>
      <c r="AO505" t="s">
        <v>98</v>
      </c>
      <c r="AP505" t="s">
        <v>99</v>
      </c>
      <c r="AQ505" t="s">
        <v>102</v>
      </c>
      <c r="AV505" t="s">
        <v>98</v>
      </c>
      <c r="AX505" t="s">
        <v>302</v>
      </c>
      <c r="BF505" t="s">
        <v>1647</v>
      </c>
      <c r="BG505" t="s">
        <v>98</v>
      </c>
      <c r="BH505" t="s">
        <v>98</v>
      </c>
      <c r="BI505" t="s">
        <v>98</v>
      </c>
      <c r="CB505" t="s">
        <v>302</v>
      </c>
      <c r="CL505" t="s">
        <v>98</v>
      </c>
      <c r="CM505" t="s">
        <v>98</v>
      </c>
      <c r="CP505" s="1">
        <v>43595</v>
      </c>
    </row>
    <row r="506" spans="1:94" x14ac:dyDescent="0.25">
      <c r="A506" s="4" t="s">
        <v>1648</v>
      </c>
      <c r="B506" t="str">
        <f xml:space="preserve"> "" &amp; 706411050633</f>
        <v>706411050633</v>
      </c>
      <c r="C506" t="s">
        <v>786</v>
      </c>
      <c r="D506" t="s">
        <v>1649</v>
      </c>
      <c r="F506" t="s">
        <v>135</v>
      </c>
      <c r="G506">
        <v>1</v>
      </c>
      <c r="H506">
        <v>1</v>
      </c>
      <c r="I506" t="s">
        <v>97</v>
      </c>
      <c r="J506" s="32">
        <v>24</v>
      </c>
      <c r="K506" s="32">
        <v>72</v>
      </c>
      <c r="L506">
        <v>0</v>
      </c>
      <c r="N506">
        <v>0</v>
      </c>
      <c r="S506">
        <v>48</v>
      </c>
      <c r="U506">
        <v>0.75</v>
      </c>
      <c r="V506">
        <v>0.2</v>
      </c>
      <c r="W506">
        <v>2.98</v>
      </c>
      <c r="X506">
        <v>1</v>
      </c>
      <c r="Y506">
        <v>2.63</v>
      </c>
      <c r="Z506">
        <v>48.5</v>
      </c>
      <c r="AA506">
        <v>5.5</v>
      </c>
      <c r="AB506">
        <v>0.41</v>
      </c>
      <c r="AC506">
        <v>3.036</v>
      </c>
      <c r="AK506" t="s">
        <v>98</v>
      </c>
      <c r="AM506" t="s">
        <v>98</v>
      </c>
      <c r="AN506" t="s">
        <v>98</v>
      </c>
      <c r="AO506" t="s">
        <v>98</v>
      </c>
      <c r="AP506" t="s">
        <v>99</v>
      </c>
      <c r="AQ506" t="s">
        <v>102</v>
      </c>
      <c r="AV506" t="s">
        <v>98</v>
      </c>
      <c r="AX506" t="s">
        <v>311</v>
      </c>
      <c r="BF506" t="s">
        <v>1650</v>
      </c>
      <c r="BG506" t="s">
        <v>98</v>
      </c>
      <c r="BH506" t="s">
        <v>98</v>
      </c>
      <c r="BI506" t="s">
        <v>98</v>
      </c>
      <c r="BJ506" t="s">
        <v>291</v>
      </c>
      <c r="BK506" t="s">
        <v>292</v>
      </c>
      <c r="CA506" t="s">
        <v>1651</v>
      </c>
      <c r="CB506" t="s">
        <v>311</v>
      </c>
      <c r="CL506" t="s">
        <v>98</v>
      </c>
      <c r="CM506" t="s">
        <v>98</v>
      </c>
      <c r="CN506" t="s">
        <v>700</v>
      </c>
      <c r="CO506" s="1">
        <v>43414</v>
      </c>
      <c r="CP506" s="1">
        <v>43595</v>
      </c>
    </row>
    <row r="507" spans="1:94" x14ac:dyDescent="0.25">
      <c r="A507" s="4" t="s">
        <v>1652</v>
      </c>
      <c r="B507" t="str">
        <f xml:space="preserve"> "" &amp; 706411019968</f>
        <v>706411019968</v>
      </c>
      <c r="C507" t="s">
        <v>786</v>
      </c>
      <c r="D507" t="s">
        <v>4416</v>
      </c>
      <c r="F507" t="s">
        <v>135</v>
      </c>
      <c r="G507">
        <v>1</v>
      </c>
      <c r="H507">
        <v>1</v>
      </c>
      <c r="I507" t="s">
        <v>97</v>
      </c>
      <c r="J507" s="32">
        <v>24</v>
      </c>
      <c r="K507" s="32">
        <v>72</v>
      </c>
      <c r="L507">
        <v>0</v>
      </c>
      <c r="N507">
        <v>0</v>
      </c>
      <c r="S507">
        <v>48</v>
      </c>
      <c r="U507">
        <v>0.75</v>
      </c>
      <c r="V507">
        <v>0.2</v>
      </c>
      <c r="W507">
        <v>2.98</v>
      </c>
      <c r="X507">
        <v>1</v>
      </c>
      <c r="Y507">
        <v>2.63</v>
      </c>
      <c r="Z507">
        <v>48.5</v>
      </c>
      <c r="AA507">
        <v>5.5</v>
      </c>
      <c r="AB507">
        <v>0.41</v>
      </c>
      <c r="AC507">
        <v>3.036</v>
      </c>
      <c r="AK507" t="s">
        <v>98</v>
      </c>
      <c r="AM507" t="s">
        <v>98</v>
      </c>
      <c r="AN507" t="s">
        <v>98</v>
      </c>
      <c r="AO507" t="s">
        <v>98</v>
      </c>
      <c r="AP507" t="s">
        <v>99</v>
      </c>
      <c r="AQ507" t="s">
        <v>102</v>
      </c>
      <c r="AV507" t="s">
        <v>98</v>
      </c>
      <c r="AX507" t="s">
        <v>136</v>
      </c>
      <c r="BF507" t="s">
        <v>1653</v>
      </c>
      <c r="BG507" t="s">
        <v>98</v>
      </c>
      <c r="BH507" t="s">
        <v>98</v>
      </c>
      <c r="BI507" t="s">
        <v>98</v>
      </c>
      <c r="BK507" t="s">
        <v>138</v>
      </c>
      <c r="CA507" t="s">
        <v>1654</v>
      </c>
      <c r="CB507" t="s">
        <v>136</v>
      </c>
      <c r="CL507" t="s">
        <v>98</v>
      </c>
      <c r="CM507" t="s">
        <v>98</v>
      </c>
      <c r="CO507" s="1">
        <v>39728</v>
      </c>
      <c r="CP507" s="1">
        <v>43595</v>
      </c>
    </row>
    <row r="508" spans="1:94" x14ac:dyDescent="0.25">
      <c r="A508" s="4" t="s">
        <v>1655</v>
      </c>
      <c r="B508" t="str">
        <f xml:space="preserve"> "" &amp; 706411020537</f>
        <v>706411020537</v>
      </c>
      <c r="C508" t="s">
        <v>786</v>
      </c>
      <c r="D508" t="s">
        <v>4415</v>
      </c>
      <c r="F508" t="s">
        <v>135</v>
      </c>
      <c r="G508">
        <v>1</v>
      </c>
      <c r="H508">
        <v>1</v>
      </c>
      <c r="I508" t="s">
        <v>97</v>
      </c>
      <c r="J508" s="32">
        <v>24</v>
      </c>
      <c r="K508" s="32">
        <v>72</v>
      </c>
      <c r="L508">
        <v>0</v>
      </c>
      <c r="N508">
        <v>0</v>
      </c>
      <c r="S508">
        <v>48</v>
      </c>
      <c r="U508">
        <v>0.75</v>
      </c>
      <c r="V508">
        <v>0.2</v>
      </c>
      <c r="W508">
        <v>2.98</v>
      </c>
      <c r="X508">
        <v>1</v>
      </c>
      <c r="Y508">
        <v>2.63</v>
      </c>
      <c r="Z508">
        <v>48.5</v>
      </c>
      <c r="AA508">
        <v>5.5</v>
      </c>
      <c r="AB508">
        <v>0.41</v>
      </c>
      <c r="AC508">
        <v>3.036</v>
      </c>
      <c r="AK508" t="s">
        <v>98</v>
      </c>
      <c r="AM508" t="s">
        <v>98</v>
      </c>
      <c r="AN508" t="s">
        <v>98</v>
      </c>
      <c r="AO508" t="s">
        <v>98</v>
      </c>
      <c r="AP508" t="s">
        <v>99</v>
      </c>
      <c r="AQ508" t="s">
        <v>102</v>
      </c>
      <c r="AV508" t="s">
        <v>98</v>
      </c>
      <c r="AX508" t="s">
        <v>317</v>
      </c>
      <c r="BF508" t="s">
        <v>1656</v>
      </c>
      <c r="BG508" t="s">
        <v>98</v>
      </c>
      <c r="BH508" t="s">
        <v>98</v>
      </c>
      <c r="BI508" t="s">
        <v>98</v>
      </c>
      <c r="BK508" t="s">
        <v>138</v>
      </c>
      <c r="CA508" t="s">
        <v>1654</v>
      </c>
      <c r="CB508" t="s">
        <v>317</v>
      </c>
      <c r="CL508" t="s">
        <v>98</v>
      </c>
      <c r="CM508" t="s">
        <v>98</v>
      </c>
      <c r="CO508" s="1">
        <v>39728</v>
      </c>
      <c r="CP508" s="1">
        <v>43595</v>
      </c>
    </row>
    <row r="509" spans="1:94" x14ac:dyDescent="0.25">
      <c r="A509" s="4" t="s">
        <v>1657</v>
      </c>
      <c r="B509" t="str">
        <f xml:space="preserve"> "" &amp; 706411035500</f>
        <v>706411035500</v>
      </c>
      <c r="C509" t="s">
        <v>786</v>
      </c>
      <c r="D509" t="s">
        <v>1658</v>
      </c>
      <c r="F509" t="s">
        <v>135</v>
      </c>
      <c r="G509">
        <v>1</v>
      </c>
      <c r="H509">
        <v>1</v>
      </c>
      <c r="I509" t="s">
        <v>97</v>
      </c>
      <c r="J509" s="32">
        <v>24</v>
      </c>
      <c r="K509" s="32">
        <v>72</v>
      </c>
      <c r="L509">
        <v>0</v>
      </c>
      <c r="N509">
        <v>0</v>
      </c>
      <c r="S509">
        <v>48</v>
      </c>
      <c r="U509">
        <v>0.75</v>
      </c>
      <c r="V509">
        <v>0.2</v>
      </c>
      <c r="W509">
        <v>2.98</v>
      </c>
      <c r="X509">
        <v>1</v>
      </c>
      <c r="Y509">
        <v>2.63</v>
      </c>
      <c r="Z509">
        <v>48.5</v>
      </c>
      <c r="AA509">
        <v>5.5</v>
      </c>
      <c r="AB509">
        <v>0.41</v>
      </c>
      <c r="AC509">
        <v>3.036</v>
      </c>
      <c r="AK509" t="s">
        <v>98</v>
      </c>
      <c r="AM509" t="s">
        <v>98</v>
      </c>
      <c r="AN509" t="s">
        <v>98</v>
      </c>
      <c r="AO509" t="s">
        <v>98</v>
      </c>
      <c r="AP509" t="s">
        <v>99</v>
      </c>
      <c r="AQ509" t="s">
        <v>102</v>
      </c>
      <c r="AV509" t="s">
        <v>98</v>
      </c>
      <c r="AX509" t="s">
        <v>1040</v>
      </c>
      <c r="BF509" t="s">
        <v>1659</v>
      </c>
      <c r="BG509" t="s">
        <v>98</v>
      </c>
      <c r="BH509" t="s">
        <v>98</v>
      </c>
      <c r="BI509" t="s">
        <v>98</v>
      </c>
      <c r="BK509" t="s">
        <v>138</v>
      </c>
      <c r="CA509" t="s">
        <v>1654</v>
      </c>
      <c r="CL509" t="s">
        <v>98</v>
      </c>
      <c r="CM509" t="s">
        <v>98</v>
      </c>
      <c r="CO509" s="1">
        <v>39728</v>
      </c>
      <c r="CP509" s="1">
        <v>43595</v>
      </c>
    </row>
    <row r="510" spans="1:94" x14ac:dyDescent="0.25">
      <c r="A510" s="4" t="s">
        <v>1660</v>
      </c>
      <c r="B510" t="str">
        <f xml:space="preserve"> "" &amp; 706411025457</f>
        <v>706411025457</v>
      </c>
      <c r="C510" t="s">
        <v>786</v>
      </c>
      <c r="D510" t="s">
        <v>1661</v>
      </c>
      <c r="F510" t="s">
        <v>135</v>
      </c>
      <c r="G510">
        <v>1</v>
      </c>
      <c r="H510">
        <v>1</v>
      </c>
      <c r="I510" t="s">
        <v>97</v>
      </c>
      <c r="J510" s="32">
        <v>24</v>
      </c>
      <c r="K510" s="32">
        <v>72</v>
      </c>
      <c r="L510">
        <v>0</v>
      </c>
      <c r="N510">
        <v>0</v>
      </c>
      <c r="S510">
        <v>48</v>
      </c>
      <c r="U510">
        <v>0.75</v>
      </c>
      <c r="V510">
        <v>0.2</v>
      </c>
      <c r="W510">
        <v>2.98</v>
      </c>
      <c r="X510">
        <v>1</v>
      </c>
      <c r="Y510">
        <v>2.63</v>
      </c>
      <c r="Z510">
        <v>48.5</v>
      </c>
      <c r="AA510">
        <v>5.5</v>
      </c>
      <c r="AB510">
        <v>0.41</v>
      </c>
      <c r="AC510">
        <v>3.036</v>
      </c>
      <c r="AK510" t="s">
        <v>98</v>
      </c>
      <c r="AM510" t="s">
        <v>98</v>
      </c>
      <c r="AN510" t="s">
        <v>98</v>
      </c>
      <c r="AO510" t="s">
        <v>98</v>
      </c>
      <c r="AP510" t="s">
        <v>99</v>
      </c>
      <c r="AQ510" t="s">
        <v>102</v>
      </c>
      <c r="AV510" t="s">
        <v>98</v>
      </c>
      <c r="AX510" t="s">
        <v>146</v>
      </c>
      <c r="BF510" t="s">
        <v>1662</v>
      </c>
      <c r="BG510" t="s">
        <v>98</v>
      </c>
      <c r="BH510" t="s">
        <v>98</v>
      </c>
      <c r="BI510" t="s">
        <v>98</v>
      </c>
      <c r="BK510" t="s">
        <v>138</v>
      </c>
      <c r="CA510" t="s">
        <v>1654</v>
      </c>
      <c r="CB510" t="s">
        <v>146</v>
      </c>
      <c r="CL510" t="s">
        <v>98</v>
      </c>
      <c r="CM510" t="s">
        <v>98</v>
      </c>
      <c r="CO510" s="1">
        <v>39728</v>
      </c>
      <c r="CP510" s="1">
        <v>43595</v>
      </c>
    </row>
    <row r="511" spans="1:94" x14ac:dyDescent="0.25">
      <c r="A511" s="4" t="s">
        <v>1663</v>
      </c>
      <c r="B511" t="str">
        <f xml:space="preserve"> "" &amp; 706411003295</f>
        <v>706411003295</v>
      </c>
      <c r="C511" t="s">
        <v>786</v>
      </c>
      <c r="D511" t="s">
        <v>1664</v>
      </c>
      <c r="F511" t="s">
        <v>135</v>
      </c>
      <c r="G511">
        <v>1</v>
      </c>
      <c r="H511">
        <v>1</v>
      </c>
      <c r="I511" t="s">
        <v>97</v>
      </c>
      <c r="J511" s="32">
        <v>24</v>
      </c>
      <c r="K511" s="32">
        <v>72</v>
      </c>
      <c r="L511">
        <v>0</v>
      </c>
      <c r="N511">
        <v>0</v>
      </c>
      <c r="S511">
        <v>48</v>
      </c>
      <c r="U511">
        <v>0.75</v>
      </c>
      <c r="V511">
        <v>0.2</v>
      </c>
      <c r="W511">
        <v>2.98</v>
      </c>
      <c r="X511">
        <v>1</v>
      </c>
      <c r="Y511">
        <v>2.63</v>
      </c>
      <c r="Z511">
        <v>48.5</v>
      </c>
      <c r="AA511">
        <v>5.5</v>
      </c>
      <c r="AB511">
        <v>0.41</v>
      </c>
      <c r="AC511">
        <v>3.036</v>
      </c>
      <c r="AK511" t="s">
        <v>98</v>
      </c>
      <c r="AM511" t="s">
        <v>98</v>
      </c>
      <c r="AN511" t="s">
        <v>98</v>
      </c>
      <c r="AO511" t="s">
        <v>98</v>
      </c>
      <c r="AP511" t="s">
        <v>99</v>
      </c>
      <c r="AQ511" t="s">
        <v>102</v>
      </c>
      <c r="AV511" t="s">
        <v>98</v>
      </c>
      <c r="AX511" t="s">
        <v>150</v>
      </c>
      <c r="BF511" t="s">
        <v>1665</v>
      </c>
      <c r="BG511" t="s">
        <v>98</v>
      </c>
      <c r="BH511" t="s">
        <v>98</v>
      </c>
      <c r="BI511" t="s">
        <v>98</v>
      </c>
      <c r="BK511" t="s">
        <v>138</v>
      </c>
      <c r="CA511" t="s">
        <v>1654</v>
      </c>
      <c r="CB511" t="s">
        <v>150</v>
      </c>
      <c r="CL511" t="s">
        <v>98</v>
      </c>
      <c r="CM511" t="s">
        <v>98</v>
      </c>
      <c r="CO511" s="1">
        <v>39728</v>
      </c>
      <c r="CP511" s="1">
        <v>43595</v>
      </c>
    </row>
    <row r="512" spans="1:94" x14ac:dyDescent="0.25">
      <c r="A512" s="4" t="s">
        <v>1666</v>
      </c>
      <c r="B512" t="str">
        <f xml:space="preserve"> "" &amp; 706411056833</f>
        <v>706411056833</v>
      </c>
      <c r="C512" t="s">
        <v>786</v>
      </c>
      <c r="D512" t="s">
        <v>1667</v>
      </c>
      <c r="F512" t="s">
        <v>135</v>
      </c>
      <c r="G512">
        <v>1</v>
      </c>
      <c r="H512">
        <v>1</v>
      </c>
      <c r="I512" t="s">
        <v>97</v>
      </c>
      <c r="J512" s="32">
        <v>24</v>
      </c>
      <c r="K512" s="32">
        <v>72</v>
      </c>
      <c r="L512">
        <v>0</v>
      </c>
      <c r="N512">
        <v>0</v>
      </c>
      <c r="S512">
        <v>48</v>
      </c>
      <c r="U512">
        <v>0.75</v>
      </c>
      <c r="V512">
        <v>0.2</v>
      </c>
      <c r="W512">
        <v>2.98</v>
      </c>
      <c r="X512">
        <v>1</v>
      </c>
      <c r="Y512">
        <v>2.63</v>
      </c>
      <c r="Z512">
        <v>48.5</v>
      </c>
      <c r="AA512">
        <v>5.5</v>
      </c>
      <c r="AB512">
        <v>0.41</v>
      </c>
      <c r="AC512">
        <v>3.036</v>
      </c>
      <c r="AK512" t="s">
        <v>98</v>
      </c>
      <c r="AM512" t="s">
        <v>98</v>
      </c>
      <c r="AN512" t="s">
        <v>98</v>
      </c>
      <c r="AO512" t="s">
        <v>98</v>
      </c>
      <c r="AP512" t="s">
        <v>99</v>
      </c>
      <c r="AQ512" t="s">
        <v>102</v>
      </c>
      <c r="AV512" t="s">
        <v>98</v>
      </c>
      <c r="AX512" t="s">
        <v>154</v>
      </c>
      <c r="BF512" t="s">
        <v>1668</v>
      </c>
      <c r="BG512" t="s">
        <v>98</v>
      </c>
      <c r="BH512" t="s">
        <v>98</v>
      </c>
      <c r="BI512" t="s">
        <v>98</v>
      </c>
      <c r="BK512" t="s">
        <v>138</v>
      </c>
      <c r="CB512" t="s">
        <v>154</v>
      </c>
      <c r="CL512" t="s">
        <v>98</v>
      </c>
      <c r="CM512" t="s">
        <v>98</v>
      </c>
      <c r="CN512" t="s">
        <v>349</v>
      </c>
      <c r="CO512" s="1">
        <v>43147</v>
      </c>
      <c r="CP512" s="1">
        <v>43595</v>
      </c>
    </row>
    <row r="513" spans="1:94" x14ac:dyDescent="0.25">
      <c r="A513" s="4" t="s">
        <v>1669</v>
      </c>
      <c r="B513" t="str">
        <f xml:space="preserve"> "" &amp; 706411027468</f>
        <v>706411027468</v>
      </c>
      <c r="C513" t="s">
        <v>786</v>
      </c>
      <c r="D513" t="s">
        <v>1670</v>
      </c>
      <c r="F513" t="s">
        <v>135</v>
      </c>
      <c r="G513">
        <v>1</v>
      </c>
      <c r="H513">
        <v>1</v>
      </c>
      <c r="I513" t="s">
        <v>97</v>
      </c>
      <c r="J513" s="32">
        <v>24</v>
      </c>
      <c r="K513" s="32">
        <v>72</v>
      </c>
      <c r="L513">
        <v>0</v>
      </c>
      <c r="N513">
        <v>0</v>
      </c>
      <c r="S513">
        <v>48</v>
      </c>
      <c r="U513">
        <v>0.75</v>
      </c>
      <c r="V513">
        <v>0.2</v>
      </c>
      <c r="W513">
        <v>2.98</v>
      </c>
      <c r="X513">
        <v>1</v>
      </c>
      <c r="Y513">
        <v>2.63</v>
      </c>
      <c r="Z513">
        <v>48.5</v>
      </c>
      <c r="AA513">
        <v>5.5</v>
      </c>
      <c r="AB513">
        <v>0.41</v>
      </c>
      <c r="AC513">
        <v>3.036</v>
      </c>
      <c r="AK513" t="s">
        <v>98</v>
      </c>
      <c r="AM513" t="s">
        <v>98</v>
      </c>
      <c r="AN513" t="s">
        <v>98</v>
      </c>
      <c r="AO513" t="s">
        <v>98</v>
      </c>
      <c r="AP513" t="s">
        <v>99</v>
      </c>
      <c r="AQ513" t="s">
        <v>102</v>
      </c>
      <c r="AV513" t="s">
        <v>98</v>
      </c>
      <c r="AX513" t="s">
        <v>159</v>
      </c>
      <c r="BF513" t="s">
        <v>1671</v>
      </c>
      <c r="BG513" t="s">
        <v>98</v>
      </c>
      <c r="BH513" t="s">
        <v>98</v>
      </c>
      <c r="BI513" t="s">
        <v>98</v>
      </c>
      <c r="BK513" t="s">
        <v>138</v>
      </c>
      <c r="CA513" t="s">
        <v>1654</v>
      </c>
      <c r="CB513" t="s">
        <v>159</v>
      </c>
      <c r="CL513" t="s">
        <v>98</v>
      </c>
      <c r="CM513" t="s">
        <v>98</v>
      </c>
      <c r="CO513" s="1">
        <v>39728</v>
      </c>
      <c r="CP513" s="1">
        <v>43595</v>
      </c>
    </row>
    <row r="514" spans="1:94" x14ac:dyDescent="0.25">
      <c r="A514" s="4" t="s">
        <v>1672</v>
      </c>
      <c r="B514" t="str">
        <f xml:space="preserve"> "" &amp; 706411025600</f>
        <v>706411025600</v>
      </c>
      <c r="C514" t="s">
        <v>786</v>
      </c>
      <c r="D514" t="s">
        <v>1673</v>
      </c>
      <c r="F514" t="s">
        <v>135</v>
      </c>
      <c r="G514">
        <v>1</v>
      </c>
      <c r="H514">
        <v>1</v>
      </c>
      <c r="I514" t="s">
        <v>97</v>
      </c>
      <c r="J514" s="32">
        <v>24</v>
      </c>
      <c r="K514" s="32">
        <v>72</v>
      </c>
      <c r="L514">
        <v>0</v>
      </c>
      <c r="N514">
        <v>0</v>
      </c>
      <c r="S514">
        <v>48</v>
      </c>
      <c r="U514">
        <v>0.75</v>
      </c>
      <c r="V514">
        <v>0.2</v>
      </c>
      <c r="W514">
        <v>2.98</v>
      </c>
      <c r="X514">
        <v>1</v>
      </c>
      <c r="Y514">
        <v>2.63</v>
      </c>
      <c r="Z514">
        <v>48.5</v>
      </c>
      <c r="AA514">
        <v>5.5</v>
      </c>
      <c r="AB514">
        <v>0.41</v>
      </c>
      <c r="AC514">
        <v>3.036</v>
      </c>
      <c r="AK514" t="s">
        <v>98</v>
      </c>
      <c r="AM514" t="s">
        <v>98</v>
      </c>
      <c r="AN514" t="s">
        <v>98</v>
      </c>
      <c r="AO514" t="s">
        <v>98</v>
      </c>
      <c r="AP514" t="s">
        <v>99</v>
      </c>
      <c r="AQ514" t="s">
        <v>102</v>
      </c>
      <c r="AV514" t="s">
        <v>98</v>
      </c>
      <c r="AX514" t="s">
        <v>163</v>
      </c>
      <c r="BF514" t="s">
        <v>1674</v>
      </c>
      <c r="BG514" t="s">
        <v>98</v>
      </c>
      <c r="BH514" t="s">
        <v>98</v>
      </c>
      <c r="BI514" t="s">
        <v>98</v>
      </c>
      <c r="BK514" t="s">
        <v>138</v>
      </c>
      <c r="CA514" t="s">
        <v>1654</v>
      </c>
      <c r="CB514" t="s">
        <v>163</v>
      </c>
      <c r="CL514" t="s">
        <v>98</v>
      </c>
      <c r="CM514" t="s">
        <v>98</v>
      </c>
      <c r="CO514" s="1">
        <v>39728</v>
      </c>
      <c r="CP514" s="1">
        <v>43595</v>
      </c>
    </row>
    <row r="515" spans="1:94" x14ac:dyDescent="0.25">
      <c r="A515" s="4" t="s">
        <v>1675</v>
      </c>
      <c r="B515" t="str">
        <f xml:space="preserve"> "" &amp; 706411044595</f>
        <v>706411044595</v>
      </c>
      <c r="C515" t="s">
        <v>786</v>
      </c>
      <c r="D515" t="s">
        <v>1676</v>
      </c>
      <c r="F515" t="s">
        <v>135</v>
      </c>
      <c r="G515">
        <v>1</v>
      </c>
      <c r="H515">
        <v>1</v>
      </c>
      <c r="I515" t="s">
        <v>97</v>
      </c>
      <c r="J515" s="32">
        <v>24</v>
      </c>
      <c r="K515" s="32">
        <v>72</v>
      </c>
      <c r="L515">
        <v>0</v>
      </c>
      <c r="N515">
        <v>0</v>
      </c>
      <c r="S515">
        <v>48</v>
      </c>
      <c r="U515">
        <v>0.75</v>
      </c>
      <c r="V515">
        <v>0.2</v>
      </c>
      <c r="W515">
        <v>2.98</v>
      </c>
      <c r="X515">
        <v>1</v>
      </c>
      <c r="Y515">
        <v>2.63</v>
      </c>
      <c r="Z515">
        <v>48.5</v>
      </c>
      <c r="AA515">
        <v>5.5</v>
      </c>
      <c r="AB515">
        <v>0.41</v>
      </c>
      <c r="AC515">
        <v>3.036</v>
      </c>
      <c r="AK515" t="s">
        <v>98</v>
      </c>
      <c r="AM515" t="s">
        <v>98</v>
      </c>
      <c r="AN515" t="s">
        <v>98</v>
      </c>
      <c r="AO515" t="s">
        <v>98</v>
      </c>
      <c r="AP515" t="s">
        <v>99</v>
      </c>
      <c r="AQ515" t="s">
        <v>102</v>
      </c>
      <c r="AV515" t="s">
        <v>98</v>
      </c>
      <c r="AX515" t="s">
        <v>167</v>
      </c>
      <c r="BF515" t="s">
        <v>1677</v>
      </c>
      <c r="BG515" t="s">
        <v>98</v>
      </c>
      <c r="BH515" t="s">
        <v>98</v>
      </c>
      <c r="BI515" t="s">
        <v>98</v>
      </c>
      <c r="BJ515" t="s">
        <v>291</v>
      </c>
      <c r="BK515" t="s">
        <v>292</v>
      </c>
      <c r="CA515" t="s">
        <v>1654</v>
      </c>
      <c r="CB515" t="s">
        <v>167</v>
      </c>
      <c r="CL515" t="s">
        <v>98</v>
      </c>
      <c r="CM515" t="s">
        <v>98</v>
      </c>
      <c r="CN515" t="s">
        <v>349</v>
      </c>
      <c r="CP515" s="1">
        <v>43595</v>
      </c>
    </row>
    <row r="516" spans="1:94" x14ac:dyDescent="0.25">
      <c r="A516" s="4" t="s">
        <v>1678</v>
      </c>
      <c r="B516" t="str">
        <f xml:space="preserve"> "" &amp; 706411043260</f>
        <v>706411043260</v>
      </c>
      <c r="C516" t="s">
        <v>786</v>
      </c>
      <c r="D516" t="s">
        <v>1679</v>
      </c>
      <c r="F516" t="s">
        <v>135</v>
      </c>
      <c r="G516">
        <v>1</v>
      </c>
      <c r="H516">
        <v>1</v>
      </c>
      <c r="I516" t="s">
        <v>97</v>
      </c>
      <c r="J516" s="32">
        <v>24</v>
      </c>
      <c r="K516" s="32">
        <v>72</v>
      </c>
      <c r="L516">
        <v>0</v>
      </c>
      <c r="N516">
        <v>0</v>
      </c>
      <c r="S516">
        <v>48</v>
      </c>
      <c r="U516">
        <v>0.75</v>
      </c>
      <c r="V516">
        <v>0.2</v>
      </c>
      <c r="W516">
        <v>2.98</v>
      </c>
      <c r="X516">
        <v>1</v>
      </c>
      <c r="Y516">
        <v>2.63</v>
      </c>
      <c r="Z516">
        <v>48.5</v>
      </c>
      <c r="AA516">
        <v>5.5</v>
      </c>
      <c r="AB516">
        <v>0.41</v>
      </c>
      <c r="AC516">
        <v>3.036</v>
      </c>
      <c r="AK516" t="s">
        <v>98</v>
      </c>
      <c r="AM516" t="s">
        <v>98</v>
      </c>
      <c r="AN516" t="s">
        <v>98</v>
      </c>
      <c r="AO516" t="s">
        <v>98</v>
      </c>
      <c r="AP516" t="s">
        <v>99</v>
      </c>
      <c r="AQ516" t="s">
        <v>102</v>
      </c>
      <c r="AV516" t="s">
        <v>98</v>
      </c>
      <c r="AX516" t="s">
        <v>171</v>
      </c>
      <c r="BF516" t="s">
        <v>1680</v>
      </c>
      <c r="BG516" t="s">
        <v>98</v>
      </c>
      <c r="BH516" t="s">
        <v>98</v>
      </c>
      <c r="BI516" t="s">
        <v>98</v>
      </c>
      <c r="BK516" t="s">
        <v>138</v>
      </c>
      <c r="CA516" t="s">
        <v>1654</v>
      </c>
      <c r="CB516" t="s">
        <v>171</v>
      </c>
      <c r="CL516" t="s">
        <v>98</v>
      </c>
      <c r="CM516" t="s">
        <v>98</v>
      </c>
      <c r="CN516" t="s">
        <v>349</v>
      </c>
      <c r="CO516" s="1">
        <v>43414</v>
      </c>
      <c r="CP516" s="1">
        <v>43595</v>
      </c>
    </row>
    <row r="517" spans="1:94" x14ac:dyDescent="0.25">
      <c r="A517" s="4" t="s">
        <v>1681</v>
      </c>
      <c r="B517" t="str">
        <f xml:space="preserve"> "" &amp; 706411035593</f>
        <v>706411035593</v>
      </c>
      <c r="C517" t="s">
        <v>786</v>
      </c>
      <c r="D517" t="s">
        <v>1682</v>
      </c>
      <c r="F517" t="s">
        <v>135</v>
      </c>
      <c r="G517">
        <v>1</v>
      </c>
      <c r="H517">
        <v>1</v>
      </c>
      <c r="I517" t="s">
        <v>97</v>
      </c>
      <c r="J517" s="32">
        <v>24</v>
      </c>
      <c r="K517" s="32">
        <v>72</v>
      </c>
      <c r="L517">
        <v>0</v>
      </c>
      <c r="N517">
        <v>0</v>
      </c>
      <c r="S517">
        <v>48</v>
      </c>
      <c r="U517">
        <v>0.75</v>
      </c>
      <c r="V517">
        <v>0.2</v>
      </c>
      <c r="W517">
        <v>2.98</v>
      </c>
      <c r="X517">
        <v>1</v>
      </c>
      <c r="Y517">
        <v>2.63</v>
      </c>
      <c r="Z517">
        <v>48.5</v>
      </c>
      <c r="AA517">
        <v>5.5</v>
      </c>
      <c r="AB517">
        <v>0.41</v>
      </c>
      <c r="AC517">
        <v>3.036</v>
      </c>
      <c r="AK517" t="s">
        <v>98</v>
      </c>
      <c r="AM517" t="s">
        <v>98</v>
      </c>
      <c r="AN517" t="s">
        <v>98</v>
      </c>
      <c r="AO517" t="s">
        <v>98</v>
      </c>
      <c r="AP517" t="s">
        <v>99</v>
      </c>
      <c r="AQ517" t="s">
        <v>102</v>
      </c>
      <c r="AV517" t="s">
        <v>98</v>
      </c>
      <c r="AX517" t="s">
        <v>175</v>
      </c>
      <c r="BF517" t="s">
        <v>1683</v>
      </c>
      <c r="BG517" t="s">
        <v>98</v>
      </c>
      <c r="BH517" t="s">
        <v>98</v>
      </c>
      <c r="BI517" t="s">
        <v>98</v>
      </c>
      <c r="BK517" t="s">
        <v>138</v>
      </c>
      <c r="CA517" t="s">
        <v>1654</v>
      </c>
      <c r="CB517" t="s">
        <v>175</v>
      </c>
      <c r="CL517" t="s">
        <v>98</v>
      </c>
      <c r="CM517" t="s">
        <v>98</v>
      </c>
      <c r="CO517" s="1">
        <v>39728</v>
      </c>
      <c r="CP517" s="1">
        <v>43595</v>
      </c>
    </row>
    <row r="518" spans="1:94" x14ac:dyDescent="0.25">
      <c r="A518" s="4" t="s">
        <v>1684</v>
      </c>
      <c r="B518" t="str">
        <f xml:space="preserve"> "" &amp; 706411061134</f>
        <v>706411061134</v>
      </c>
      <c r="C518" t="s">
        <v>786</v>
      </c>
      <c r="D518" t="s">
        <v>1685</v>
      </c>
      <c r="F518" t="s">
        <v>135</v>
      </c>
      <c r="G518">
        <v>1</v>
      </c>
      <c r="H518">
        <v>1</v>
      </c>
      <c r="I518" t="s">
        <v>97</v>
      </c>
      <c r="J518" s="32">
        <v>24</v>
      </c>
      <c r="K518" s="32">
        <v>72</v>
      </c>
      <c r="L518">
        <v>0</v>
      </c>
      <c r="N518">
        <v>0</v>
      </c>
      <c r="S518">
        <v>48</v>
      </c>
      <c r="U518">
        <v>0.75</v>
      </c>
      <c r="V518">
        <v>0.2</v>
      </c>
      <c r="W518">
        <v>2.98</v>
      </c>
      <c r="X518">
        <v>1</v>
      </c>
      <c r="Y518">
        <v>2.63</v>
      </c>
      <c r="Z518">
        <v>48.5</v>
      </c>
      <c r="AA518">
        <v>5.5</v>
      </c>
      <c r="AB518">
        <v>0.41</v>
      </c>
      <c r="AC518">
        <v>3.036</v>
      </c>
      <c r="AK518" t="s">
        <v>98</v>
      </c>
      <c r="AM518" t="s">
        <v>98</v>
      </c>
      <c r="AN518" t="s">
        <v>98</v>
      </c>
      <c r="AO518" t="s">
        <v>98</v>
      </c>
      <c r="AP518" t="s">
        <v>99</v>
      </c>
      <c r="AQ518" t="s">
        <v>102</v>
      </c>
      <c r="AV518" t="s">
        <v>98</v>
      </c>
      <c r="AX518" t="s">
        <v>179</v>
      </c>
      <c r="BF518" t="s">
        <v>1686</v>
      </c>
      <c r="BG518" t="s">
        <v>98</v>
      </c>
      <c r="BH518" t="s">
        <v>98</v>
      </c>
      <c r="BI518" t="s">
        <v>98</v>
      </c>
      <c r="BK518" t="s">
        <v>138</v>
      </c>
      <c r="CA518" t="s">
        <v>1654</v>
      </c>
      <c r="CB518" t="s">
        <v>179</v>
      </c>
      <c r="CL518" t="s">
        <v>98</v>
      </c>
      <c r="CM518" t="s">
        <v>98</v>
      </c>
      <c r="CN518" t="s">
        <v>349</v>
      </c>
      <c r="CO518" s="1">
        <v>43536</v>
      </c>
      <c r="CP518" s="1">
        <v>43595</v>
      </c>
    </row>
    <row r="519" spans="1:94" x14ac:dyDescent="0.25">
      <c r="A519" s="4" t="s">
        <v>1687</v>
      </c>
      <c r="B519" t="str">
        <f xml:space="preserve"> "" &amp; 706411035531</f>
        <v>706411035531</v>
      </c>
      <c r="C519" t="s">
        <v>786</v>
      </c>
      <c r="D519" t="s">
        <v>1688</v>
      </c>
      <c r="F519" t="s">
        <v>135</v>
      </c>
      <c r="G519">
        <v>1</v>
      </c>
      <c r="H519">
        <v>1</v>
      </c>
      <c r="I519" t="s">
        <v>97</v>
      </c>
      <c r="J519" s="32">
        <v>24</v>
      </c>
      <c r="K519" s="32">
        <v>72</v>
      </c>
      <c r="L519">
        <v>0</v>
      </c>
      <c r="N519">
        <v>0</v>
      </c>
      <c r="S519">
        <v>48</v>
      </c>
      <c r="U519">
        <v>0.75</v>
      </c>
      <c r="V519">
        <v>0.2</v>
      </c>
      <c r="W519">
        <v>2.98</v>
      </c>
      <c r="X519">
        <v>1</v>
      </c>
      <c r="Y519">
        <v>2.63</v>
      </c>
      <c r="Z519">
        <v>48.5</v>
      </c>
      <c r="AA519">
        <v>5.5</v>
      </c>
      <c r="AB519">
        <v>0.41</v>
      </c>
      <c r="AC519">
        <v>3.036</v>
      </c>
      <c r="AK519" t="s">
        <v>98</v>
      </c>
      <c r="AM519" t="s">
        <v>98</v>
      </c>
      <c r="AN519" t="s">
        <v>98</v>
      </c>
      <c r="AO519" t="s">
        <v>98</v>
      </c>
      <c r="AP519" t="s">
        <v>99</v>
      </c>
      <c r="AQ519" t="s">
        <v>102</v>
      </c>
      <c r="AV519" t="s">
        <v>98</v>
      </c>
      <c r="AX519" t="s">
        <v>183</v>
      </c>
      <c r="BF519" t="s">
        <v>1689</v>
      </c>
      <c r="BG519" t="s">
        <v>98</v>
      </c>
      <c r="BH519" t="s">
        <v>98</v>
      </c>
      <c r="BI519" t="s">
        <v>98</v>
      </c>
      <c r="BK519" t="s">
        <v>138</v>
      </c>
      <c r="CA519" t="s">
        <v>1654</v>
      </c>
      <c r="CB519" t="s">
        <v>183</v>
      </c>
      <c r="CL519" t="s">
        <v>98</v>
      </c>
      <c r="CM519" t="s">
        <v>98</v>
      </c>
      <c r="CO519" s="1">
        <v>39728</v>
      </c>
      <c r="CP519" s="1">
        <v>43595</v>
      </c>
    </row>
    <row r="520" spans="1:94" x14ac:dyDescent="0.25">
      <c r="A520" s="4" t="s">
        <v>1690</v>
      </c>
      <c r="B520" t="str">
        <f xml:space="preserve"> "" &amp; 706411031281</f>
        <v>706411031281</v>
      </c>
      <c r="C520" t="s">
        <v>786</v>
      </c>
      <c r="D520" t="s">
        <v>4417</v>
      </c>
      <c r="F520" t="s">
        <v>135</v>
      </c>
      <c r="G520">
        <v>1</v>
      </c>
      <c r="H520">
        <v>1</v>
      </c>
      <c r="I520" t="s">
        <v>97</v>
      </c>
      <c r="J520" s="32">
        <v>24</v>
      </c>
      <c r="K520" s="32">
        <v>72</v>
      </c>
      <c r="L520">
        <v>0</v>
      </c>
      <c r="N520">
        <v>0</v>
      </c>
      <c r="S520">
        <v>48</v>
      </c>
      <c r="U520">
        <v>0.75</v>
      </c>
      <c r="V520">
        <v>0.2</v>
      </c>
      <c r="W520">
        <v>2.98</v>
      </c>
      <c r="X520">
        <v>1</v>
      </c>
      <c r="Y520">
        <v>2.63</v>
      </c>
      <c r="Z520">
        <v>48.5</v>
      </c>
      <c r="AA520">
        <v>5.5</v>
      </c>
      <c r="AB520">
        <v>0.41</v>
      </c>
      <c r="AC520">
        <v>3.036</v>
      </c>
      <c r="AK520" t="s">
        <v>98</v>
      </c>
      <c r="AM520" t="s">
        <v>98</v>
      </c>
      <c r="AN520" t="s">
        <v>98</v>
      </c>
      <c r="AO520" t="s">
        <v>98</v>
      </c>
      <c r="AP520" t="s">
        <v>99</v>
      </c>
      <c r="AQ520" t="s">
        <v>102</v>
      </c>
      <c r="AV520" t="s">
        <v>98</v>
      </c>
      <c r="AX520" t="s">
        <v>186</v>
      </c>
      <c r="BF520" t="s">
        <v>1691</v>
      </c>
      <c r="BG520" t="s">
        <v>98</v>
      </c>
      <c r="BH520" t="s">
        <v>98</v>
      </c>
      <c r="BI520" t="s">
        <v>98</v>
      </c>
      <c r="BK520" t="s">
        <v>138</v>
      </c>
      <c r="CA520" t="s">
        <v>1654</v>
      </c>
      <c r="CB520" t="s">
        <v>186</v>
      </c>
      <c r="CL520" t="s">
        <v>98</v>
      </c>
      <c r="CM520" t="s">
        <v>98</v>
      </c>
      <c r="CO520" s="1">
        <v>39728</v>
      </c>
      <c r="CP520" s="1">
        <v>43595</v>
      </c>
    </row>
    <row r="521" spans="1:94" x14ac:dyDescent="0.25">
      <c r="A521" s="4" t="s">
        <v>1692</v>
      </c>
      <c r="B521" t="str">
        <f xml:space="preserve"> "" &amp; 706411039089</f>
        <v>706411039089</v>
      </c>
      <c r="C521" t="s">
        <v>786</v>
      </c>
      <c r="D521" t="s">
        <v>1693</v>
      </c>
      <c r="F521" t="s">
        <v>135</v>
      </c>
      <c r="G521">
        <v>1</v>
      </c>
      <c r="H521">
        <v>1</v>
      </c>
      <c r="I521" t="s">
        <v>97</v>
      </c>
      <c r="J521" s="32">
        <v>24</v>
      </c>
      <c r="K521" s="32">
        <v>72</v>
      </c>
      <c r="L521">
        <v>0</v>
      </c>
      <c r="N521">
        <v>0</v>
      </c>
      <c r="S521">
        <v>48</v>
      </c>
      <c r="U521">
        <v>0.75</v>
      </c>
      <c r="V521">
        <v>0.2</v>
      </c>
      <c r="W521">
        <v>2.98</v>
      </c>
      <c r="X521">
        <v>1</v>
      </c>
      <c r="Y521">
        <v>2.63</v>
      </c>
      <c r="Z521">
        <v>48.5</v>
      </c>
      <c r="AA521">
        <v>5.5</v>
      </c>
      <c r="AB521">
        <v>0.41</v>
      </c>
      <c r="AC521">
        <v>3.036</v>
      </c>
      <c r="AK521" t="s">
        <v>98</v>
      </c>
      <c r="AM521" t="s">
        <v>98</v>
      </c>
      <c r="AN521" t="s">
        <v>98</v>
      </c>
      <c r="AO521" t="s">
        <v>98</v>
      </c>
      <c r="AP521" t="s">
        <v>99</v>
      </c>
      <c r="AQ521" t="s">
        <v>102</v>
      </c>
      <c r="AV521" t="s">
        <v>98</v>
      </c>
      <c r="AX521" t="s">
        <v>190</v>
      </c>
      <c r="BF521" t="s">
        <v>1694</v>
      </c>
      <c r="BG521" t="s">
        <v>98</v>
      </c>
      <c r="BH521" t="s">
        <v>98</v>
      </c>
      <c r="BI521" t="s">
        <v>98</v>
      </c>
      <c r="CB521" t="s">
        <v>190</v>
      </c>
      <c r="CL521" t="s">
        <v>98</v>
      </c>
      <c r="CM521" t="s">
        <v>98</v>
      </c>
      <c r="CP521" s="1">
        <v>43595</v>
      </c>
    </row>
    <row r="522" spans="1:94" x14ac:dyDescent="0.25">
      <c r="A522" s="4" t="s">
        <v>1695</v>
      </c>
      <c r="B522" t="str">
        <f xml:space="preserve"> "" &amp; 706411026539</f>
        <v>706411026539</v>
      </c>
      <c r="C522" t="s">
        <v>786</v>
      </c>
      <c r="D522" t="s">
        <v>4418</v>
      </c>
      <c r="F522" t="s">
        <v>135</v>
      </c>
      <c r="G522">
        <v>1</v>
      </c>
      <c r="H522">
        <v>1</v>
      </c>
      <c r="I522" t="s">
        <v>97</v>
      </c>
      <c r="J522" s="32">
        <v>24</v>
      </c>
      <c r="K522" s="32">
        <v>72</v>
      </c>
      <c r="L522">
        <v>0</v>
      </c>
      <c r="N522">
        <v>0</v>
      </c>
      <c r="S522">
        <v>48</v>
      </c>
      <c r="U522">
        <v>0.75</v>
      </c>
      <c r="V522">
        <v>0.2</v>
      </c>
      <c r="W522">
        <v>2.98</v>
      </c>
      <c r="X522">
        <v>1</v>
      </c>
      <c r="Y522">
        <v>2.63</v>
      </c>
      <c r="Z522">
        <v>48.5</v>
      </c>
      <c r="AA522">
        <v>5.5</v>
      </c>
      <c r="AB522">
        <v>0.41</v>
      </c>
      <c r="AC522">
        <v>3.036</v>
      </c>
      <c r="AK522" t="s">
        <v>98</v>
      </c>
      <c r="AM522" t="s">
        <v>98</v>
      </c>
      <c r="AN522" t="s">
        <v>98</v>
      </c>
      <c r="AO522" t="s">
        <v>98</v>
      </c>
      <c r="AP522" t="s">
        <v>99</v>
      </c>
      <c r="AQ522" t="s">
        <v>102</v>
      </c>
      <c r="AV522" t="s">
        <v>98</v>
      </c>
      <c r="AX522" t="s">
        <v>193</v>
      </c>
      <c r="BF522" t="s">
        <v>1696</v>
      </c>
      <c r="BG522" t="s">
        <v>98</v>
      </c>
      <c r="BH522" t="s">
        <v>98</v>
      </c>
      <c r="BI522" t="s">
        <v>98</v>
      </c>
      <c r="BK522" t="s">
        <v>138</v>
      </c>
      <c r="CA522" t="s">
        <v>1654</v>
      </c>
      <c r="CB522" t="s">
        <v>193</v>
      </c>
      <c r="CL522" t="s">
        <v>98</v>
      </c>
      <c r="CM522" t="s">
        <v>98</v>
      </c>
      <c r="CO522" s="1">
        <v>39728</v>
      </c>
      <c r="CP522" s="1">
        <v>43595</v>
      </c>
    </row>
    <row r="523" spans="1:94" x14ac:dyDescent="0.25">
      <c r="A523" s="4" t="s">
        <v>1697</v>
      </c>
      <c r="B523" t="str">
        <f xml:space="preserve"> "" &amp; 706411050404</f>
        <v>706411050404</v>
      </c>
      <c r="C523" t="s">
        <v>786</v>
      </c>
      <c r="D523" t="s">
        <v>1698</v>
      </c>
      <c r="F523" t="s">
        <v>135</v>
      </c>
      <c r="G523">
        <v>1</v>
      </c>
      <c r="H523">
        <v>1</v>
      </c>
      <c r="I523" t="s">
        <v>97</v>
      </c>
      <c r="J523" s="32">
        <v>24</v>
      </c>
      <c r="K523" s="32">
        <v>72</v>
      </c>
      <c r="L523">
        <v>0</v>
      </c>
      <c r="N523">
        <v>0</v>
      </c>
      <c r="S523">
        <v>48</v>
      </c>
      <c r="U523">
        <v>0.75</v>
      </c>
      <c r="V523">
        <v>0.2</v>
      </c>
      <c r="W523">
        <v>2.98</v>
      </c>
      <c r="X523">
        <v>1</v>
      </c>
      <c r="Y523">
        <v>2.63</v>
      </c>
      <c r="Z523">
        <v>48.5</v>
      </c>
      <c r="AA523">
        <v>5.5</v>
      </c>
      <c r="AB523">
        <v>0.41</v>
      </c>
      <c r="AC523">
        <v>3.036</v>
      </c>
      <c r="AK523" t="s">
        <v>98</v>
      </c>
      <c r="AM523" t="s">
        <v>98</v>
      </c>
      <c r="AN523" t="s">
        <v>98</v>
      </c>
      <c r="AO523" t="s">
        <v>98</v>
      </c>
      <c r="AP523" t="s">
        <v>99</v>
      </c>
      <c r="AQ523" t="s">
        <v>102</v>
      </c>
      <c r="AV523" t="s">
        <v>98</v>
      </c>
      <c r="AX523" t="s">
        <v>197</v>
      </c>
      <c r="BF523" t="s">
        <v>1699</v>
      </c>
      <c r="BG523" t="s">
        <v>98</v>
      </c>
      <c r="BH523" t="s">
        <v>98</v>
      </c>
      <c r="BI523" t="s">
        <v>98</v>
      </c>
      <c r="CB523" t="s">
        <v>197</v>
      </c>
      <c r="CL523" t="s">
        <v>98</v>
      </c>
      <c r="CM523" t="s">
        <v>98</v>
      </c>
      <c r="CP523" s="1">
        <v>43595</v>
      </c>
    </row>
    <row r="524" spans="1:94" x14ac:dyDescent="0.25">
      <c r="A524" s="4" t="s">
        <v>1700</v>
      </c>
      <c r="B524" t="str">
        <f xml:space="preserve"> "" &amp; 706411052330</f>
        <v>706411052330</v>
      </c>
      <c r="C524" t="s">
        <v>786</v>
      </c>
      <c r="D524" t="s">
        <v>1701</v>
      </c>
      <c r="F524" t="s">
        <v>135</v>
      </c>
      <c r="G524">
        <v>1</v>
      </c>
      <c r="H524">
        <v>1</v>
      </c>
      <c r="I524" t="s">
        <v>97</v>
      </c>
      <c r="J524" s="32">
        <v>24</v>
      </c>
      <c r="K524" s="32">
        <v>72</v>
      </c>
      <c r="L524">
        <v>0</v>
      </c>
      <c r="N524">
        <v>0</v>
      </c>
      <c r="S524">
        <v>48</v>
      </c>
      <c r="U524">
        <v>0.75</v>
      </c>
      <c r="V524">
        <v>0.2</v>
      </c>
      <c r="W524">
        <v>2.98</v>
      </c>
      <c r="X524">
        <v>1</v>
      </c>
      <c r="Y524">
        <v>2.63</v>
      </c>
      <c r="Z524">
        <v>48.5</v>
      </c>
      <c r="AA524">
        <v>5.5</v>
      </c>
      <c r="AB524">
        <v>0.41</v>
      </c>
      <c r="AC524">
        <v>3.036</v>
      </c>
      <c r="AK524" t="s">
        <v>98</v>
      </c>
      <c r="AM524" t="s">
        <v>98</v>
      </c>
      <c r="AN524" t="s">
        <v>98</v>
      </c>
      <c r="AO524" t="s">
        <v>98</v>
      </c>
      <c r="AP524" t="s">
        <v>99</v>
      </c>
      <c r="AQ524" t="s">
        <v>102</v>
      </c>
      <c r="AV524" t="s">
        <v>98</v>
      </c>
      <c r="AX524" t="s">
        <v>197</v>
      </c>
      <c r="BF524" t="s">
        <v>1702</v>
      </c>
      <c r="BG524" t="s">
        <v>98</v>
      </c>
      <c r="BH524" t="s">
        <v>98</v>
      </c>
      <c r="BI524" t="s">
        <v>98</v>
      </c>
      <c r="BJ524" t="s">
        <v>291</v>
      </c>
      <c r="BK524" t="s">
        <v>292</v>
      </c>
      <c r="CA524" t="s">
        <v>1654</v>
      </c>
      <c r="CB524" t="s">
        <v>197</v>
      </c>
      <c r="CL524" t="s">
        <v>98</v>
      </c>
      <c r="CM524" t="s">
        <v>98</v>
      </c>
      <c r="CN524" t="s">
        <v>349</v>
      </c>
      <c r="CP524" s="1">
        <v>43595</v>
      </c>
    </row>
    <row r="525" spans="1:94" x14ac:dyDescent="0.25">
      <c r="A525" s="4" t="s">
        <v>1703</v>
      </c>
      <c r="B525" t="str">
        <f xml:space="preserve"> "" &amp; 706411039096</f>
        <v>706411039096</v>
      </c>
      <c r="C525" t="s">
        <v>786</v>
      </c>
      <c r="D525" t="s">
        <v>1704</v>
      </c>
      <c r="F525" t="s">
        <v>135</v>
      </c>
      <c r="G525">
        <v>1</v>
      </c>
      <c r="H525">
        <v>1</v>
      </c>
      <c r="I525" t="s">
        <v>97</v>
      </c>
      <c r="J525" s="32">
        <v>24</v>
      </c>
      <c r="K525" s="32">
        <v>72</v>
      </c>
      <c r="L525">
        <v>0</v>
      </c>
      <c r="N525">
        <v>0</v>
      </c>
      <c r="S525">
        <v>48</v>
      </c>
      <c r="U525">
        <v>0.75</v>
      </c>
      <c r="V525">
        <v>0.2</v>
      </c>
      <c r="W525">
        <v>2.98</v>
      </c>
      <c r="X525">
        <v>1</v>
      </c>
      <c r="Y525">
        <v>2.63</v>
      </c>
      <c r="Z525">
        <v>48.5</v>
      </c>
      <c r="AA525">
        <v>5.5</v>
      </c>
      <c r="AB525">
        <v>0.41</v>
      </c>
      <c r="AC525">
        <v>3.036</v>
      </c>
      <c r="AK525" t="s">
        <v>98</v>
      </c>
      <c r="AM525" t="s">
        <v>98</v>
      </c>
      <c r="AN525" t="s">
        <v>98</v>
      </c>
      <c r="AO525" t="s">
        <v>98</v>
      </c>
      <c r="AP525" t="s">
        <v>99</v>
      </c>
      <c r="AQ525" t="s">
        <v>102</v>
      </c>
      <c r="AV525" t="s">
        <v>98</v>
      </c>
      <c r="AX525" t="s">
        <v>201</v>
      </c>
      <c r="BF525" t="s">
        <v>1705</v>
      </c>
      <c r="BG525" t="s">
        <v>98</v>
      </c>
      <c r="BH525" t="s">
        <v>98</v>
      </c>
      <c r="BI525" t="s">
        <v>98</v>
      </c>
      <c r="BK525" t="s">
        <v>138</v>
      </c>
      <c r="CA525" t="s">
        <v>1654</v>
      </c>
      <c r="CB525" t="s">
        <v>201</v>
      </c>
      <c r="CL525" t="s">
        <v>98</v>
      </c>
      <c r="CM525" t="s">
        <v>98</v>
      </c>
      <c r="CO525" s="1">
        <v>40841</v>
      </c>
      <c r="CP525" s="1">
        <v>43595</v>
      </c>
    </row>
    <row r="526" spans="1:94" x14ac:dyDescent="0.25">
      <c r="A526" s="4" t="s">
        <v>1706</v>
      </c>
      <c r="B526" t="str">
        <f xml:space="preserve"> "" &amp; 706411057069</f>
        <v>706411057069</v>
      </c>
      <c r="C526" t="s">
        <v>786</v>
      </c>
      <c r="D526" t="s">
        <v>1707</v>
      </c>
      <c r="F526" t="s">
        <v>135</v>
      </c>
      <c r="G526">
        <v>1</v>
      </c>
      <c r="H526">
        <v>1</v>
      </c>
      <c r="I526" t="s">
        <v>97</v>
      </c>
      <c r="J526" s="32">
        <v>24</v>
      </c>
      <c r="K526" s="32">
        <v>72</v>
      </c>
      <c r="L526">
        <v>0</v>
      </c>
      <c r="N526">
        <v>0</v>
      </c>
      <c r="S526">
        <v>48</v>
      </c>
      <c r="U526">
        <v>0.75</v>
      </c>
      <c r="V526">
        <v>0.2</v>
      </c>
      <c r="W526">
        <v>2.98</v>
      </c>
      <c r="X526">
        <v>1</v>
      </c>
      <c r="Y526">
        <v>2.63</v>
      </c>
      <c r="Z526">
        <v>48.5</v>
      </c>
      <c r="AA526">
        <v>5.5</v>
      </c>
      <c r="AB526">
        <v>0.41</v>
      </c>
      <c r="AC526">
        <v>3.036</v>
      </c>
      <c r="AK526" t="s">
        <v>98</v>
      </c>
      <c r="AM526" t="s">
        <v>98</v>
      </c>
      <c r="AN526" t="s">
        <v>98</v>
      </c>
      <c r="AO526" t="s">
        <v>98</v>
      </c>
      <c r="AP526" t="s">
        <v>99</v>
      </c>
      <c r="AQ526" t="s">
        <v>102</v>
      </c>
      <c r="AV526" t="s">
        <v>98</v>
      </c>
      <c r="AX526" t="s">
        <v>859</v>
      </c>
      <c r="BF526" t="s">
        <v>1708</v>
      </c>
      <c r="BG526" t="s">
        <v>98</v>
      </c>
      <c r="BH526" t="s">
        <v>98</v>
      </c>
      <c r="BI526" t="s">
        <v>98</v>
      </c>
      <c r="BK526" t="s">
        <v>138</v>
      </c>
      <c r="CA526" t="s">
        <v>1706</v>
      </c>
      <c r="CB526" t="s">
        <v>859</v>
      </c>
      <c r="CL526" t="s">
        <v>98</v>
      </c>
      <c r="CM526" t="s">
        <v>98</v>
      </c>
      <c r="CO526" s="1">
        <v>43399</v>
      </c>
      <c r="CP526" s="1">
        <v>43595</v>
      </c>
    </row>
    <row r="527" spans="1:94" x14ac:dyDescent="0.25">
      <c r="A527" s="4" t="s">
        <v>1709</v>
      </c>
      <c r="B527" t="str">
        <f xml:space="preserve"> "" &amp; 706411043277</f>
        <v>706411043277</v>
      </c>
      <c r="C527" t="s">
        <v>786</v>
      </c>
      <c r="D527" t="s">
        <v>1710</v>
      </c>
      <c r="F527" t="s">
        <v>135</v>
      </c>
      <c r="G527">
        <v>1</v>
      </c>
      <c r="H527">
        <v>1</v>
      </c>
      <c r="I527" t="s">
        <v>97</v>
      </c>
      <c r="J527" s="32">
        <v>24</v>
      </c>
      <c r="K527" s="32">
        <v>72</v>
      </c>
      <c r="L527">
        <v>0</v>
      </c>
      <c r="N527">
        <v>0</v>
      </c>
      <c r="S527">
        <v>48</v>
      </c>
      <c r="U527">
        <v>0.75</v>
      </c>
      <c r="V527">
        <v>0.2</v>
      </c>
      <c r="W527">
        <v>2.98</v>
      </c>
      <c r="X527">
        <v>1</v>
      </c>
      <c r="Y527">
        <v>2.63</v>
      </c>
      <c r="Z527">
        <v>48.5</v>
      </c>
      <c r="AA527">
        <v>5.5</v>
      </c>
      <c r="AB527">
        <v>0.41</v>
      </c>
      <c r="AC527">
        <v>3.036</v>
      </c>
      <c r="AK527" t="s">
        <v>98</v>
      </c>
      <c r="AM527" t="s">
        <v>98</v>
      </c>
      <c r="AN527" t="s">
        <v>98</v>
      </c>
      <c r="AO527" t="s">
        <v>98</v>
      </c>
      <c r="AP527" t="s">
        <v>99</v>
      </c>
      <c r="AQ527" t="s">
        <v>102</v>
      </c>
      <c r="AV527" t="s">
        <v>98</v>
      </c>
      <c r="AX527" t="s">
        <v>205</v>
      </c>
      <c r="BF527" t="s">
        <v>1711</v>
      </c>
      <c r="BG527" t="s">
        <v>98</v>
      </c>
      <c r="BH527" t="s">
        <v>98</v>
      </c>
      <c r="BI527" t="s">
        <v>98</v>
      </c>
      <c r="CB527" t="s">
        <v>205</v>
      </c>
      <c r="CL527" t="s">
        <v>98</v>
      </c>
      <c r="CM527" t="s">
        <v>98</v>
      </c>
      <c r="CP527" s="1">
        <v>43595</v>
      </c>
    </row>
    <row r="528" spans="1:94" x14ac:dyDescent="0.25">
      <c r="A528" s="4" t="s">
        <v>1712</v>
      </c>
      <c r="B528" t="str">
        <f xml:space="preserve"> "" &amp; 706411053276</f>
        <v>706411053276</v>
      </c>
      <c r="C528" t="s">
        <v>786</v>
      </c>
      <c r="D528" t="s">
        <v>1713</v>
      </c>
      <c r="F528" t="s">
        <v>135</v>
      </c>
      <c r="G528">
        <v>1</v>
      </c>
      <c r="H528">
        <v>1</v>
      </c>
      <c r="I528" t="s">
        <v>97</v>
      </c>
      <c r="J528" s="32">
        <v>24</v>
      </c>
      <c r="K528" s="32">
        <v>72</v>
      </c>
      <c r="L528">
        <v>0</v>
      </c>
      <c r="N528">
        <v>0</v>
      </c>
      <c r="S528">
        <v>48</v>
      </c>
      <c r="U528">
        <v>0.75</v>
      </c>
      <c r="V528">
        <v>0.2</v>
      </c>
      <c r="W528">
        <v>2.98</v>
      </c>
      <c r="X528">
        <v>1</v>
      </c>
      <c r="Y528">
        <v>2.63</v>
      </c>
      <c r="Z528">
        <v>48.5</v>
      </c>
      <c r="AA528">
        <v>5.5</v>
      </c>
      <c r="AB528">
        <v>0.41</v>
      </c>
      <c r="AC528">
        <v>3.036</v>
      </c>
      <c r="AK528" t="s">
        <v>98</v>
      </c>
      <c r="AM528" t="s">
        <v>98</v>
      </c>
      <c r="AN528" t="s">
        <v>98</v>
      </c>
      <c r="AO528" t="s">
        <v>98</v>
      </c>
      <c r="AP528" t="s">
        <v>99</v>
      </c>
      <c r="AQ528" t="s">
        <v>102</v>
      </c>
      <c r="AV528" t="s">
        <v>98</v>
      </c>
      <c r="AX528" t="s">
        <v>371</v>
      </c>
      <c r="BF528" t="s">
        <v>1714</v>
      </c>
      <c r="BG528" t="s">
        <v>98</v>
      </c>
      <c r="BH528" t="s">
        <v>98</v>
      </c>
      <c r="BI528" t="s">
        <v>98</v>
      </c>
      <c r="CB528" t="s">
        <v>371</v>
      </c>
      <c r="CL528" t="s">
        <v>98</v>
      </c>
      <c r="CM528" t="s">
        <v>98</v>
      </c>
      <c r="CP528" s="1">
        <v>43595</v>
      </c>
    </row>
    <row r="529" spans="1:94" x14ac:dyDescent="0.25">
      <c r="A529" s="4" t="s">
        <v>1715</v>
      </c>
      <c r="B529" t="str">
        <f xml:space="preserve"> "" &amp; 706411060564</f>
        <v>706411060564</v>
      </c>
      <c r="C529" t="s">
        <v>786</v>
      </c>
      <c r="D529" t="s">
        <v>4354</v>
      </c>
      <c r="F529" t="s">
        <v>135</v>
      </c>
      <c r="G529">
        <v>1</v>
      </c>
      <c r="H529">
        <v>1</v>
      </c>
      <c r="I529" t="s">
        <v>97</v>
      </c>
      <c r="J529" s="32">
        <v>24</v>
      </c>
      <c r="K529" s="32">
        <v>72</v>
      </c>
      <c r="L529">
        <v>0</v>
      </c>
      <c r="N529">
        <v>0</v>
      </c>
      <c r="S529">
        <v>48</v>
      </c>
      <c r="U529">
        <v>0.75</v>
      </c>
      <c r="V529">
        <v>0.2</v>
      </c>
      <c r="W529">
        <v>2.98</v>
      </c>
      <c r="X529">
        <v>1</v>
      </c>
      <c r="Y529">
        <v>2.63</v>
      </c>
      <c r="Z529">
        <v>48.5</v>
      </c>
      <c r="AA529">
        <v>5.5</v>
      </c>
      <c r="AB529">
        <v>0.41</v>
      </c>
      <c r="AC529">
        <v>3.04</v>
      </c>
      <c r="AK529" t="s">
        <v>98</v>
      </c>
      <c r="AM529" t="s">
        <v>98</v>
      </c>
      <c r="AN529" t="s">
        <v>98</v>
      </c>
      <c r="AO529" t="s">
        <v>98</v>
      </c>
      <c r="AP529" t="s">
        <v>99</v>
      </c>
      <c r="AQ529" t="s">
        <v>102</v>
      </c>
      <c r="AV529" t="s">
        <v>98</v>
      </c>
      <c r="AX529" t="s">
        <v>1095</v>
      </c>
      <c r="BF529" t="s">
        <v>1716</v>
      </c>
      <c r="BG529" t="s">
        <v>98</v>
      </c>
      <c r="BH529" t="s">
        <v>98</v>
      </c>
      <c r="BI529" t="s">
        <v>98</v>
      </c>
      <c r="BJ529" t="s">
        <v>291</v>
      </c>
      <c r="BK529" t="s">
        <v>292</v>
      </c>
      <c r="CA529" t="s">
        <v>1654</v>
      </c>
      <c r="CB529" t="s">
        <v>1095</v>
      </c>
      <c r="CL529" t="s">
        <v>98</v>
      </c>
      <c r="CM529" t="s">
        <v>98</v>
      </c>
      <c r="CN529" t="s">
        <v>349</v>
      </c>
      <c r="CO529" s="1">
        <v>43642</v>
      </c>
      <c r="CP529" s="1">
        <v>43648</v>
      </c>
    </row>
    <row r="530" spans="1:94" x14ac:dyDescent="0.25">
      <c r="A530" s="4" t="s">
        <v>1717</v>
      </c>
      <c r="B530" t="str">
        <f xml:space="preserve"> "" &amp; 706411056840</f>
        <v>706411056840</v>
      </c>
      <c r="C530" t="s">
        <v>786</v>
      </c>
      <c r="D530" t="s">
        <v>1718</v>
      </c>
      <c r="F530" t="s">
        <v>135</v>
      </c>
      <c r="G530">
        <v>1</v>
      </c>
      <c r="H530">
        <v>1</v>
      </c>
      <c r="I530" t="s">
        <v>97</v>
      </c>
      <c r="J530" s="32">
        <v>24</v>
      </c>
      <c r="K530" s="32">
        <v>72</v>
      </c>
      <c r="L530">
        <v>0</v>
      </c>
      <c r="N530">
        <v>0</v>
      </c>
      <c r="S530">
        <v>48</v>
      </c>
      <c r="U530">
        <v>0.75</v>
      </c>
      <c r="V530">
        <v>0.2</v>
      </c>
      <c r="W530">
        <v>2.98</v>
      </c>
      <c r="X530">
        <v>1</v>
      </c>
      <c r="Y530">
        <v>2.63</v>
      </c>
      <c r="Z530">
        <v>48.5</v>
      </c>
      <c r="AA530">
        <v>5.5</v>
      </c>
      <c r="AB530">
        <v>0.41</v>
      </c>
      <c r="AC530">
        <v>3.036</v>
      </c>
      <c r="AK530" t="s">
        <v>98</v>
      </c>
      <c r="AM530" t="s">
        <v>98</v>
      </c>
      <c r="AN530" t="s">
        <v>98</v>
      </c>
      <c r="AO530" t="s">
        <v>98</v>
      </c>
      <c r="AP530" t="s">
        <v>99</v>
      </c>
      <c r="AQ530" t="s">
        <v>102</v>
      </c>
      <c r="AV530" t="s">
        <v>98</v>
      </c>
      <c r="AX530" t="s">
        <v>209</v>
      </c>
      <c r="BF530" t="s">
        <v>1719</v>
      </c>
      <c r="BG530" t="s">
        <v>98</v>
      </c>
      <c r="BH530" t="s">
        <v>98</v>
      </c>
      <c r="BI530" t="s">
        <v>98</v>
      </c>
      <c r="BK530" t="s">
        <v>138</v>
      </c>
      <c r="CB530" t="s">
        <v>209</v>
      </c>
      <c r="CL530" t="s">
        <v>98</v>
      </c>
      <c r="CM530" t="s">
        <v>98</v>
      </c>
      <c r="CN530" t="s">
        <v>349</v>
      </c>
      <c r="CO530" s="1">
        <v>43147</v>
      </c>
      <c r="CP530" s="1">
        <v>43595</v>
      </c>
    </row>
    <row r="531" spans="1:94" x14ac:dyDescent="0.25">
      <c r="A531" s="4" t="s">
        <v>1720</v>
      </c>
      <c r="B531" t="str">
        <f xml:space="preserve"> "" &amp; 706411025686</f>
        <v>706411025686</v>
      </c>
      <c r="C531" t="s">
        <v>786</v>
      </c>
      <c r="D531" t="s">
        <v>4419</v>
      </c>
      <c r="F531" t="s">
        <v>135</v>
      </c>
      <c r="G531">
        <v>1</v>
      </c>
      <c r="H531">
        <v>1</v>
      </c>
      <c r="I531" t="s">
        <v>97</v>
      </c>
      <c r="J531" s="32">
        <v>24</v>
      </c>
      <c r="K531" s="32">
        <v>72</v>
      </c>
      <c r="L531">
        <v>0</v>
      </c>
      <c r="N531">
        <v>0</v>
      </c>
      <c r="S531">
        <v>48</v>
      </c>
      <c r="U531">
        <v>0.75</v>
      </c>
      <c r="V531">
        <v>0.2</v>
      </c>
      <c r="W531">
        <v>2.98</v>
      </c>
      <c r="X531">
        <v>1</v>
      </c>
      <c r="Y531">
        <v>2.63</v>
      </c>
      <c r="Z531">
        <v>48.5</v>
      </c>
      <c r="AA531">
        <v>5.5</v>
      </c>
      <c r="AB531">
        <v>0.41</v>
      </c>
      <c r="AC531">
        <v>3.036</v>
      </c>
      <c r="AK531" t="s">
        <v>98</v>
      </c>
      <c r="AM531" t="s">
        <v>98</v>
      </c>
      <c r="AN531" t="s">
        <v>98</v>
      </c>
      <c r="AO531" t="s">
        <v>98</v>
      </c>
      <c r="AP531" t="s">
        <v>99</v>
      </c>
      <c r="AQ531" t="s">
        <v>102</v>
      </c>
      <c r="AV531" t="s">
        <v>98</v>
      </c>
      <c r="AX531" t="s">
        <v>212</v>
      </c>
      <c r="BF531" t="s">
        <v>1721</v>
      </c>
      <c r="BG531" t="s">
        <v>98</v>
      </c>
      <c r="BH531" t="s">
        <v>98</v>
      </c>
      <c r="BI531" t="s">
        <v>98</v>
      </c>
      <c r="BK531" t="s">
        <v>138</v>
      </c>
      <c r="CA531" t="s">
        <v>1654</v>
      </c>
      <c r="CB531" t="s">
        <v>212</v>
      </c>
      <c r="CL531" t="s">
        <v>98</v>
      </c>
      <c r="CM531" t="s">
        <v>98</v>
      </c>
      <c r="CO531" s="1">
        <v>39728</v>
      </c>
      <c r="CP531" s="1">
        <v>43595</v>
      </c>
    </row>
    <row r="532" spans="1:94" x14ac:dyDescent="0.25">
      <c r="A532" s="4" t="s">
        <v>1722</v>
      </c>
      <c r="B532" t="str">
        <f xml:space="preserve"> "" &amp; 706411035517</f>
        <v>706411035517</v>
      </c>
      <c r="C532" t="s">
        <v>786</v>
      </c>
      <c r="D532" t="s">
        <v>4420</v>
      </c>
      <c r="F532" t="s">
        <v>135</v>
      </c>
      <c r="G532">
        <v>1</v>
      </c>
      <c r="H532">
        <v>1</v>
      </c>
      <c r="I532" t="s">
        <v>97</v>
      </c>
      <c r="J532" s="32">
        <v>24</v>
      </c>
      <c r="K532" s="32">
        <v>72</v>
      </c>
      <c r="L532">
        <v>0</v>
      </c>
      <c r="N532">
        <v>0</v>
      </c>
      <c r="S532">
        <v>48</v>
      </c>
      <c r="U532">
        <v>0.75</v>
      </c>
      <c r="V532">
        <v>0.2</v>
      </c>
      <c r="W532">
        <v>2.98</v>
      </c>
      <c r="X532">
        <v>1</v>
      </c>
      <c r="Y532">
        <v>2.63</v>
      </c>
      <c r="Z532">
        <v>48.5</v>
      </c>
      <c r="AA532">
        <v>5.5</v>
      </c>
      <c r="AB532">
        <v>0.41</v>
      </c>
      <c r="AC532">
        <v>3.036</v>
      </c>
      <c r="AK532" t="s">
        <v>98</v>
      </c>
      <c r="AM532" t="s">
        <v>98</v>
      </c>
      <c r="AN532" t="s">
        <v>98</v>
      </c>
      <c r="AO532" t="s">
        <v>98</v>
      </c>
      <c r="AP532" t="s">
        <v>99</v>
      </c>
      <c r="AQ532" t="s">
        <v>102</v>
      </c>
      <c r="AV532" t="s">
        <v>98</v>
      </c>
      <c r="AX532" t="s">
        <v>215</v>
      </c>
      <c r="BF532" t="s">
        <v>1723</v>
      </c>
      <c r="BG532" t="s">
        <v>98</v>
      </c>
      <c r="BH532" t="s">
        <v>98</v>
      </c>
      <c r="BI532" t="s">
        <v>98</v>
      </c>
      <c r="BK532" t="s">
        <v>138</v>
      </c>
      <c r="CA532" t="s">
        <v>1654</v>
      </c>
      <c r="CB532" t="s">
        <v>215</v>
      </c>
      <c r="CL532" t="s">
        <v>98</v>
      </c>
      <c r="CM532" t="s">
        <v>98</v>
      </c>
      <c r="CO532" s="1">
        <v>39728</v>
      </c>
      <c r="CP532" s="1">
        <v>43595</v>
      </c>
    </row>
    <row r="533" spans="1:94" x14ac:dyDescent="0.25">
      <c r="A533" s="4" t="s">
        <v>1724</v>
      </c>
      <c r="B533" t="str">
        <f xml:space="preserve"> "" &amp; 706411043284</f>
        <v>706411043284</v>
      </c>
      <c r="C533" t="s">
        <v>786</v>
      </c>
      <c r="D533" t="s">
        <v>1725</v>
      </c>
      <c r="F533" t="s">
        <v>135</v>
      </c>
      <c r="G533">
        <v>1</v>
      </c>
      <c r="H533">
        <v>1</v>
      </c>
      <c r="I533" t="s">
        <v>97</v>
      </c>
      <c r="J533" s="32">
        <v>24</v>
      </c>
      <c r="K533" s="32">
        <v>72</v>
      </c>
      <c r="L533">
        <v>0</v>
      </c>
      <c r="N533">
        <v>0</v>
      </c>
      <c r="S533">
        <v>48</v>
      </c>
      <c r="U533">
        <v>0.75</v>
      </c>
      <c r="V533">
        <v>0.2</v>
      </c>
      <c r="W533">
        <v>2.98</v>
      </c>
      <c r="X533">
        <v>1</v>
      </c>
      <c r="Y533">
        <v>2.63</v>
      </c>
      <c r="Z533">
        <v>48.5</v>
      </c>
      <c r="AA533">
        <v>5.5</v>
      </c>
      <c r="AB533">
        <v>0.41</v>
      </c>
      <c r="AC533">
        <v>3.036</v>
      </c>
      <c r="AK533" t="s">
        <v>98</v>
      </c>
      <c r="AM533" t="s">
        <v>98</v>
      </c>
      <c r="AN533" t="s">
        <v>98</v>
      </c>
      <c r="AO533" t="s">
        <v>98</v>
      </c>
      <c r="AP533" t="s">
        <v>99</v>
      </c>
      <c r="AQ533" t="s">
        <v>102</v>
      </c>
      <c r="AV533" t="s">
        <v>98</v>
      </c>
      <c r="AX533" t="s">
        <v>219</v>
      </c>
      <c r="BF533" t="s">
        <v>1726</v>
      </c>
      <c r="BG533" t="s">
        <v>98</v>
      </c>
      <c r="BH533" t="s">
        <v>98</v>
      </c>
      <c r="BI533" t="s">
        <v>98</v>
      </c>
      <c r="CB533" t="s">
        <v>219</v>
      </c>
      <c r="CL533" t="s">
        <v>98</v>
      </c>
      <c r="CM533" t="s">
        <v>98</v>
      </c>
      <c r="CP533" s="1">
        <v>43595</v>
      </c>
    </row>
    <row r="534" spans="1:94" x14ac:dyDescent="0.25">
      <c r="A534" s="4" t="s">
        <v>1727</v>
      </c>
      <c r="B534" t="str">
        <f xml:space="preserve"> "" &amp; 706411033537</f>
        <v>706411033537</v>
      </c>
      <c r="C534" t="s">
        <v>786</v>
      </c>
      <c r="D534" t="s">
        <v>1728</v>
      </c>
      <c r="F534" t="s">
        <v>135</v>
      </c>
      <c r="G534">
        <v>1</v>
      </c>
      <c r="H534">
        <v>1</v>
      </c>
      <c r="I534" t="s">
        <v>97</v>
      </c>
      <c r="J534" s="32">
        <v>24</v>
      </c>
      <c r="K534" s="32">
        <v>72</v>
      </c>
      <c r="L534">
        <v>0</v>
      </c>
      <c r="N534">
        <v>0</v>
      </c>
      <c r="S534">
        <v>48</v>
      </c>
      <c r="U534">
        <v>0.75</v>
      </c>
      <c r="V534">
        <v>0.2</v>
      </c>
      <c r="W534">
        <v>2.98</v>
      </c>
      <c r="X534">
        <v>1</v>
      </c>
      <c r="Y534">
        <v>2.63</v>
      </c>
      <c r="Z534">
        <v>48.5</v>
      </c>
      <c r="AA534">
        <v>5.5</v>
      </c>
      <c r="AB534">
        <v>0.41</v>
      </c>
      <c r="AC534">
        <v>3.036</v>
      </c>
      <c r="AK534" t="s">
        <v>98</v>
      </c>
      <c r="AM534" t="s">
        <v>98</v>
      </c>
      <c r="AN534" t="s">
        <v>98</v>
      </c>
      <c r="AO534" t="s">
        <v>98</v>
      </c>
      <c r="AP534" t="s">
        <v>99</v>
      </c>
      <c r="AQ534" t="s">
        <v>102</v>
      </c>
      <c r="AV534" t="s">
        <v>98</v>
      </c>
      <c r="AX534" t="s">
        <v>223</v>
      </c>
      <c r="BF534" t="s">
        <v>1729</v>
      </c>
      <c r="BG534" t="s">
        <v>98</v>
      </c>
      <c r="BH534" t="s">
        <v>98</v>
      </c>
      <c r="BI534" t="s">
        <v>98</v>
      </c>
      <c r="BK534" t="s">
        <v>138</v>
      </c>
      <c r="CB534" t="s">
        <v>223</v>
      </c>
      <c r="CL534" t="s">
        <v>98</v>
      </c>
      <c r="CM534" t="s">
        <v>98</v>
      </c>
      <c r="CN534" t="s">
        <v>349</v>
      </c>
      <c r="CO534" s="1">
        <v>39728</v>
      </c>
      <c r="CP534" s="1">
        <v>43595</v>
      </c>
    </row>
    <row r="535" spans="1:94" x14ac:dyDescent="0.25">
      <c r="A535" s="4" t="s">
        <v>1730</v>
      </c>
      <c r="B535" t="str">
        <f xml:space="preserve"> "" &amp; 706411027369</f>
        <v>706411027369</v>
      </c>
      <c r="C535" t="s">
        <v>786</v>
      </c>
      <c r="D535" t="s">
        <v>1731</v>
      </c>
      <c r="F535" t="s">
        <v>135</v>
      </c>
      <c r="G535">
        <v>1</v>
      </c>
      <c r="H535">
        <v>1</v>
      </c>
      <c r="I535" t="s">
        <v>97</v>
      </c>
      <c r="J535" s="32">
        <v>24</v>
      </c>
      <c r="K535" s="32">
        <v>72</v>
      </c>
      <c r="L535">
        <v>0</v>
      </c>
      <c r="N535">
        <v>0</v>
      </c>
      <c r="S535">
        <v>48</v>
      </c>
      <c r="U535">
        <v>0.75</v>
      </c>
      <c r="V535">
        <v>0.2</v>
      </c>
      <c r="W535">
        <v>2.98</v>
      </c>
      <c r="X535">
        <v>1</v>
      </c>
      <c r="Y535">
        <v>2.63</v>
      </c>
      <c r="Z535">
        <v>48.5</v>
      </c>
      <c r="AA535">
        <v>5.5</v>
      </c>
      <c r="AB535">
        <v>0.41</v>
      </c>
      <c r="AC535">
        <v>3.036</v>
      </c>
      <c r="AK535" t="s">
        <v>98</v>
      </c>
      <c r="AM535" t="s">
        <v>98</v>
      </c>
      <c r="AN535" t="s">
        <v>98</v>
      </c>
      <c r="AO535" t="s">
        <v>98</v>
      </c>
      <c r="AP535" t="s">
        <v>99</v>
      </c>
      <c r="AQ535" t="s">
        <v>102</v>
      </c>
      <c r="AV535" t="s">
        <v>98</v>
      </c>
      <c r="AX535" t="s">
        <v>231</v>
      </c>
      <c r="BF535" t="s">
        <v>1732</v>
      </c>
      <c r="BG535" t="s">
        <v>98</v>
      </c>
      <c r="BH535" t="s">
        <v>98</v>
      </c>
      <c r="BI535" t="s">
        <v>98</v>
      </c>
      <c r="BK535" t="s">
        <v>138</v>
      </c>
      <c r="CA535" t="s">
        <v>1654</v>
      </c>
      <c r="CB535" t="s">
        <v>231</v>
      </c>
      <c r="CL535" t="s">
        <v>98</v>
      </c>
      <c r="CM535" t="s">
        <v>98</v>
      </c>
      <c r="CO535" s="1">
        <v>39728</v>
      </c>
      <c r="CP535" s="1">
        <v>43595</v>
      </c>
    </row>
    <row r="536" spans="1:94" x14ac:dyDescent="0.25">
      <c r="A536" s="4" t="s">
        <v>1733</v>
      </c>
      <c r="B536" t="str">
        <f xml:space="preserve"> "" &amp; 706411027277</f>
        <v>706411027277</v>
      </c>
      <c r="C536" t="s">
        <v>786</v>
      </c>
      <c r="D536" t="s">
        <v>1734</v>
      </c>
      <c r="F536" t="s">
        <v>135</v>
      </c>
      <c r="G536">
        <v>1</v>
      </c>
      <c r="H536">
        <v>1</v>
      </c>
      <c r="I536" t="s">
        <v>97</v>
      </c>
      <c r="J536" s="32">
        <v>24</v>
      </c>
      <c r="K536" s="32">
        <v>72</v>
      </c>
      <c r="L536">
        <v>0</v>
      </c>
      <c r="N536">
        <v>0</v>
      </c>
      <c r="S536">
        <v>48</v>
      </c>
      <c r="U536">
        <v>0.75</v>
      </c>
      <c r="V536">
        <v>0.2</v>
      </c>
      <c r="W536">
        <v>2.98</v>
      </c>
      <c r="X536">
        <v>1</v>
      </c>
      <c r="Y536">
        <v>2.63</v>
      </c>
      <c r="Z536">
        <v>48.5</v>
      </c>
      <c r="AA536">
        <v>5.5</v>
      </c>
      <c r="AB536">
        <v>0.41</v>
      </c>
      <c r="AC536">
        <v>3.036</v>
      </c>
      <c r="AK536" t="s">
        <v>98</v>
      </c>
      <c r="AM536" t="s">
        <v>98</v>
      </c>
      <c r="AN536" t="s">
        <v>98</v>
      </c>
      <c r="AO536" t="s">
        <v>98</v>
      </c>
      <c r="AP536" t="s">
        <v>99</v>
      </c>
      <c r="AQ536" t="s">
        <v>102</v>
      </c>
      <c r="AV536" t="s">
        <v>98</v>
      </c>
      <c r="AX536" t="s">
        <v>235</v>
      </c>
      <c r="BF536" t="s">
        <v>1735</v>
      </c>
      <c r="BG536" t="s">
        <v>98</v>
      </c>
      <c r="BH536" t="s">
        <v>98</v>
      </c>
      <c r="BI536" t="s">
        <v>98</v>
      </c>
      <c r="BK536" t="s">
        <v>138</v>
      </c>
      <c r="CA536" t="s">
        <v>1654</v>
      </c>
      <c r="CB536" t="s">
        <v>235</v>
      </c>
      <c r="CL536" t="s">
        <v>98</v>
      </c>
      <c r="CM536" t="s">
        <v>98</v>
      </c>
      <c r="CO536" s="1">
        <v>39728</v>
      </c>
      <c r="CP536" s="1">
        <v>43595</v>
      </c>
    </row>
    <row r="537" spans="1:94" x14ac:dyDescent="0.25">
      <c r="A537" s="4" t="s">
        <v>1736</v>
      </c>
      <c r="B537" t="str">
        <f xml:space="preserve"> "" &amp; 706411035555</f>
        <v>706411035555</v>
      </c>
      <c r="C537" t="s">
        <v>786</v>
      </c>
      <c r="D537" t="s">
        <v>4421</v>
      </c>
      <c r="F537" t="s">
        <v>135</v>
      </c>
      <c r="G537">
        <v>1</v>
      </c>
      <c r="H537">
        <v>1</v>
      </c>
      <c r="I537" t="s">
        <v>97</v>
      </c>
      <c r="J537" s="32">
        <v>24</v>
      </c>
      <c r="K537" s="32">
        <v>72</v>
      </c>
      <c r="L537">
        <v>0</v>
      </c>
      <c r="N537">
        <v>0</v>
      </c>
      <c r="S537">
        <v>48</v>
      </c>
      <c r="U537">
        <v>0.75</v>
      </c>
      <c r="V537">
        <v>0.2</v>
      </c>
      <c r="W537">
        <v>2.98</v>
      </c>
      <c r="X537">
        <v>1</v>
      </c>
      <c r="Y537">
        <v>2.63</v>
      </c>
      <c r="Z537">
        <v>48.5</v>
      </c>
      <c r="AA537">
        <v>5.5</v>
      </c>
      <c r="AB537">
        <v>0.41</v>
      </c>
      <c r="AC537">
        <v>3.036</v>
      </c>
      <c r="AK537" t="s">
        <v>98</v>
      </c>
      <c r="AM537" t="s">
        <v>98</v>
      </c>
      <c r="AN537" t="s">
        <v>98</v>
      </c>
      <c r="AO537" t="s">
        <v>98</v>
      </c>
      <c r="AP537" t="s">
        <v>99</v>
      </c>
      <c r="AQ537" t="s">
        <v>102</v>
      </c>
      <c r="AV537" t="s">
        <v>98</v>
      </c>
      <c r="AX537" t="s">
        <v>238</v>
      </c>
      <c r="BF537" t="s">
        <v>1737</v>
      </c>
      <c r="BG537" t="s">
        <v>98</v>
      </c>
      <c r="BH537" t="s">
        <v>98</v>
      </c>
      <c r="BI537" t="s">
        <v>98</v>
      </c>
      <c r="BK537" t="s">
        <v>138</v>
      </c>
      <c r="CA537" t="s">
        <v>1654</v>
      </c>
      <c r="CB537" t="s">
        <v>238</v>
      </c>
      <c r="CL537" t="s">
        <v>98</v>
      </c>
      <c r="CM537" t="s">
        <v>98</v>
      </c>
      <c r="CO537" s="1">
        <v>39728</v>
      </c>
      <c r="CP537" s="1">
        <v>43595</v>
      </c>
    </row>
    <row r="538" spans="1:94" x14ac:dyDescent="0.25">
      <c r="A538" s="4" t="s">
        <v>1738</v>
      </c>
      <c r="B538" t="str">
        <f xml:space="preserve"> "" &amp; 706411053177</f>
        <v>706411053177</v>
      </c>
      <c r="C538" t="s">
        <v>786</v>
      </c>
      <c r="D538" t="s">
        <v>1739</v>
      </c>
      <c r="F538" t="s">
        <v>135</v>
      </c>
      <c r="G538">
        <v>1</v>
      </c>
      <c r="H538">
        <v>1</v>
      </c>
      <c r="I538" t="s">
        <v>97</v>
      </c>
      <c r="J538" s="32">
        <v>24</v>
      </c>
      <c r="K538" s="32">
        <v>72</v>
      </c>
      <c r="L538">
        <v>0</v>
      </c>
      <c r="N538">
        <v>0</v>
      </c>
      <c r="S538">
        <v>48</v>
      </c>
      <c r="U538">
        <v>0.75</v>
      </c>
      <c r="V538">
        <v>0.2</v>
      </c>
      <c r="W538">
        <v>2.98</v>
      </c>
      <c r="X538">
        <v>1</v>
      </c>
      <c r="Y538">
        <v>2.63</v>
      </c>
      <c r="Z538">
        <v>48.5</v>
      </c>
      <c r="AA538">
        <v>5.5</v>
      </c>
      <c r="AB538">
        <v>0.41</v>
      </c>
      <c r="AC538">
        <v>3.036</v>
      </c>
      <c r="AK538" t="s">
        <v>98</v>
      </c>
      <c r="AM538" t="s">
        <v>98</v>
      </c>
      <c r="AN538" t="s">
        <v>98</v>
      </c>
      <c r="AO538" t="s">
        <v>98</v>
      </c>
      <c r="AP538" t="s">
        <v>99</v>
      </c>
      <c r="AQ538" t="s">
        <v>102</v>
      </c>
      <c r="AV538" t="s">
        <v>98</v>
      </c>
      <c r="BF538" t="s">
        <v>1740</v>
      </c>
      <c r="BG538" t="s">
        <v>98</v>
      </c>
      <c r="BH538" t="s">
        <v>98</v>
      </c>
      <c r="BI538" t="s">
        <v>98</v>
      </c>
      <c r="CL538" t="s">
        <v>98</v>
      </c>
      <c r="CM538" t="s">
        <v>98</v>
      </c>
      <c r="CP538" s="1">
        <v>43595</v>
      </c>
    </row>
    <row r="539" spans="1:94" x14ac:dyDescent="0.25">
      <c r="A539" s="4" t="s">
        <v>1741</v>
      </c>
      <c r="B539" t="str">
        <f xml:space="preserve"> "" &amp; 706411010002</f>
        <v>706411010002</v>
      </c>
      <c r="C539" t="s">
        <v>786</v>
      </c>
      <c r="D539" t="s">
        <v>1742</v>
      </c>
      <c r="F539" t="s">
        <v>135</v>
      </c>
      <c r="G539">
        <v>1</v>
      </c>
      <c r="H539">
        <v>1</v>
      </c>
      <c r="I539" t="s">
        <v>97</v>
      </c>
      <c r="J539" s="32">
        <v>24</v>
      </c>
      <c r="K539" s="32">
        <v>72</v>
      </c>
      <c r="L539">
        <v>0</v>
      </c>
      <c r="N539">
        <v>0</v>
      </c>
      <c r="S539">
        <v>48</v>
      </c>
      <c r="U539">
        <v>0.75</v>
      </c>
      <c r="V539">
        <v>0.2</v>
      </c>
      <c r="W539">
        <v>2.98</v>
      </c>
      <c r="X539">
        <v>1</v>
      </c>
      <c r="Y539">
        <v>2.63</v>
      </c>
      <c r="Z539">
        <v>48.5</v>
      </c>
      <c r="AA539">
        <v>5.5</v>
      </c>
      <c r="AB539">
        <v>0.41</v>
      </c>
      <c r="AC539">
        <v>3.036</v>
      </c>
      <c r="AK539" t="s">
        <v>98</v>
      </c>
      <c r="AM539" t="s">
        <v>98</v>
      </c>
      <c r="AN539" t="s">
        <v>98</v>
      </c>
      <c r="AO539" t="s">
        <v>98</v>
      </c>
      <c r="AP539" t="s">
        <v>99</v>
      </c>
      <c r="AQ539" t="s">
        <v>102</v>
      </c>
      <c r="AV539" t="s">
        <v>98</v>
      </c>
      <c r="AX539" t="s">
        <v>245</v>
      </c>
      <c r="BF539" t="s">
        <v>1743</v>
      </c>
      <c r="BG539" t="s">
        <v>98</v>
      </c>
      <c r="BH539" t="s">
        <v>98</v>
      </c>
      <c r="BI539" t="s">
        <v>98</v>
      </c>
      <c r="BK539" t="s">
        <v>138</v>
      </c>
      <c r="CA539" t="s">
        <v>1654</v>
      </c>
      <c r="CB539" t="s">
        <v>245</v>
      </c>
      <c r="CL539" t="s">
        <v>98</v>
      </c>
      <c r="CM539" t="s">
        <v>98</v>
      </c>
      <c r="CO539" s="1">
        <v>39728</v>
      </c>
      <c r="CP539" s="1">
        <v>43595</v>
      </c>
    </row>
    <row r="540" spans="1:94" x14ac:dyDescent="0.25">
      <c r="A540" s="4" t="s">
        <v>1744</v>
      </c>
      <c r="B540" t="str">
        <f xml:space="preserve"> "" &amp; 706411039546</f>
        <v>706411039546</v>
      </c>
      <c r="C540" t="s">
        <v>786</v>
      </c>
      <c r="D540" t="s">
        <v>1745</v>
      </c>
      <c r="F540" t="s">
        <v>135</v>
      </c>
      <c r="G540">
        <v>1</v>
      </c>
      <c r="H540">
        <v>1</v>
      </c>
      <c r="I540" t="s">
        <v>97</v>
      </c>
      <c r="J540" s="32">
        <v>24</v>
      </c>
      <c r="K540" s="32">
        <v>72</v>
      </c>
      <c r="L540">
        <v>0</v>
      </c>
      <c r="N540">
        <v>0</v>
      </c>
      <c r="S540">
        <v>48</v>
      </c>
      <c r="U540">
        <v>0.75</v>
      </c>
      <c r="V540">
        <v>0.2</v>
      </c>
      <c r="W540">
        <v>2.98</v>
      </c>
      <c r="X540">
        <v>1</v>
      </c>
      <c r="Y540">
        <v>2.63</v>
      </c>
      <c r="Z540">
        <v>48.5</v>
      </c>
      <c r="AA540">
        <v>5.5</v>
      </c>
      <c r="AB540">
        <v>0.41</v>
      </c>
      <c r="AC540">
        <v>3.036</v>
      </c>
      <c r="AK540" t="s">
        <v>98</v>
      </c>
      <c r="AM540" t="s">
        <v>98</v>
      </c>
      <c r="AN540" t="s">
        <v>98</v>
      </c>
      <c r="AO540" t="s">
        <v>98</v>
      </c>
      <c r="AP540" t="s">
        <v>99</v>
      </c>
      <c r="AQ540" t="s">
        <v>102</v>
      </c>
      <c r="AV540" t="s">
        <v>98</v>
      </c>
      <c r="AX540" t="s">
        <v>249</v>
      </c>
      <c r="BF540" t="s">
        <v>1746</v>
      </c>
      <c r="BG540" t="s">
        <v>98</v>
      </c>
      <c r="BH540" t="s">
        <v>98</v>
      </c>
      <c r="BI540" t="s">
        <v>98</v>
      </c>
      <c r="BK540" t="s">
        <v>138</v>
      </c>
      <c r="CA540" t="s">
        <v>1654</v>
      </c>
      <c r="CB540" t="s">
        <v>249</v>
      </c>
      <c r="CL540" t="s">
        <v>98</v>
      </c>
      <c r="CM540" t="s">
        <v>98</v>
      </c>
      <c r="CO540" s="1">
        <v>40841</v>
      </c>
      <c r="CP540" s="1">
        <v>43595</v>
      </c>
    </row>
    <row r="541" spans="1:94" x14ac:dyDescent="0.25">
      <c r="A541" s="4" t="s">
        <v>1747</v>
      </c>
      <c r="B541" t="str">
        <f xml:space="preserve"> "" &amp; 706411039126</f>
        <v>706411039126</v>
      </c>
      <c r="C541" t="s">
        <v>786</v>
      </c>
      <c r="D541" t="s">
        <v>1748</v>
      </c>
      <c r="F541" t="s">
        <v>135</v>
      </c>
      <c r="G541">
        <v>1</v>
      </c>
      <c r="H541">
        <v>1</v>
      </c>
      <c r="I541" t="s">
        <v>97</v>
      </c>
      <c r="J541" s="32">
        <v>24</v>
      </c>
      <c r="K541" s="32">
        <v>72</v>
      </c>
      <c r="L541">
        <v>0</v>
      </c>
      <c r="N541">
        <v>0</v>
      </c>
      <c r="S541">
        <v>48</v>
      </c>
      <c r="U541">
        <v>0.75</v>
      </c>
      <c r="V541">
        <v>0.2</v>
      </c>
      <c r="W541">
        <v>2.98</v>
      </c>
      <c r="X541">
        <v>1</v>
      </c>
      <c r="Y541">
        <v>2.63</v>
      </c>
      <c r="Z541">
        <v>48.5</v>
      </c>
      <c r="AA541">
        <v>5.5</v>
      </c>
      <c r="AB541">
        <v>0.41</v>
      </c>
      <c r="AC541">
        <v>3.036</v>
      </c>
      <c r="AK541" t="s">
        <v>98</v>
      </c>
      <c r="AM541" t="s">
        <v>98</v>
      </c>
      <c r="AN541" t="s">
        <v>98</v>
      </c>
      <c r="AO541" t="s">
        <v>98</v>
      </c>
      <c r="AP541" t="s">
        <v>99</v>
      </c>
      <c r="AQ541" t="s">
        <v>102</v>
      </c>
      <c r="AV541" t="s">
        <v>98</v>
      </c>
      <c r="AX541" t="s">
        <v>253</v>
      </c>
      <c r="BF541" t="s">
        <v>1749</v>
      </c>
      <c r="BG541" t="s">
        <v>98</v>
      </c>
      <c r="BH541" t="s">
        <v>98</v>
      </c>
      <c r="BI541" t="s">
        <v>98</v>
      </c>
      <c r="BK541" t="s">
        <v>138</v>
      </c>
      <c r="CA541" t="s">
        <v>1654</v>
      </c>
      <c r="CB541" t="s">
        <v>253</v>
      </c>
      <c r="CL541" t="s">
        <v>98</v>
      </c>
      <c r="CM541" t="s">
        <v>98</v>
      </c>
      <c r="CO541" s="1">
        <v>40841</v>
      </c>
      <c r="CP541" s="1">
        <v>43595</v>
      </c>
    </row>
    <row r="542" spans="1:94" x14ac:dyDescent="0.25">
      <c r="A542" s="4" t="s">
        <v>1750</v>
      </c>
      <c r="B542" t="str">
        <f xml:space="preserve"> "" &amp; 706411041617</f>
        <v>706411041617</v>
      </c>
      <c r="C542" t="s">
        <v>786</v>
      </c>
      <c r="D542" t="s">
        <v>1751</v>
      </c>
      <c r="F542" t="s">
        <v>135</v>
      </c>
      <c r="G542">
        <v>1</v>
      </c>
      <c r="H542">
        <v>1</v>
      </c>
      <c r="I542" t="s">
        <v>97</v>
      </c>
      <c r="J542" s="32">
        <v>24</v>
      </c>
      <c r="K542" s="32">
        <v>72</v>
      </c>
      <c r="L542">
        <v>0</v>
      </c>
      <c r="N542">
        <v>0</v>
      </c>
      <c r="S542">
        <v>48</v>
      </c>
      <c r="U542">
        <v>0.75</v>
      </c>
      <c r="V542">
        <v>0.2</v>
      </c>
      <c r="W542">
        <v>2.98</v>
      </c>
      <c r="X542">
        <v>1</v>
      </c>
      <c r="Y542">
        <v>2.63</v>
      </c>
      <c r="Z542">
        <v>48.5</v>
      </c>
      <c r="AA542">
        <v>5.5</v>
      </c>
      <c r="AB542">
        <v>0.41</v>
      </c>
      <c r="AC542">
        <v>3.036</v>
      </c>
      <c r="AK542" t="s">
        <v>98</v>
      </c>
      <c r="AM542" t="s">
        <v>98</v>
      </c>
      <c r="AN542" t="s">
        <v>98</v>
      </c>
      <c r="AO542" t="s">
        <v>98</v>
      </c>
      <c r="AP542" t="s">
        <v>99</v>
      </c>
      <c r="AQ542" t="s">
        <v>102</v>
      </c>
      <c r="AV542" t="s">
        <v>98</v>
      </c>
      <c r="AX542" t="s">
        <v>257</v>
      </c>
      <c r="BF542" t="s">
        <v>1752</v>
      </c>
      <c r="BG542" t="s">
        <v>98</v>
      </c>
      <c r="BH542" t="s">
        <v>98</v>
      </c>
      <c r="BI542" t="s">
        <v>98</v>
      </c>
      <c r="BK542" t="s">
        <v>138</v>
      </c>
      <c r="CA542" t="s">
        <v>1654</v>
      </c>
      <c r="CB542" t="s">
        <v>257</v>
      </c>
      <c r="CL542" t="s">
        <v>98</v>
      </c>
      <c r="CM542" t="s">
        <v>98</v>
      </c>
      <c r="CO542" s="1">
        <v>40841</v>
      </c>
      <c r="CP542" s="1">
        <v>43595</v>
      </c>
    </row>
    <row r="543" spans="1:94" x14ac:dyDescent="0.25">
      <c r="A543" s="4" t="s">
        <v>1753</v>
      </c>
      <c r="B543" t="str">
        <f xml:space="preserve"> "" &amp; 706411003356</f>
        <v>706411003356</v>
      </c>
      <c r="C543" t="s">
        <v>786</v>
      </c>
      <c r="D543" t="s">
        <v>1754</v>
      </c>
      <c r="F543" t="s">
        <v>135</v>
      </c>
      <c r="G543">
        <v>1</v>
      </c>
      <c r="H543">
        <v>1</v>
      </c>
      <c r="I543" t="s">
        <v>97</v>
      </c>
      <c r="J543" s="32">
        <v>24</v>
      </c>
      <c r="K543" s="32">
        <v>72</v>
      </c>
      <c r="L543">
        <v>0</v>
      </c>
      <c r="N543">
        <v>0</v>
      </c>
      <c r="S543">
        <v>48</v>
      </c>
      <c r="U543">
        <v>0.75</v>
      </c>
      <c r="V543">
        <v>0.2</v>
      </c>
      <c r="W543">
        <v>2.98</v>
      </c>
      <c r="X543">
        <v>1</v>
      </c>
      <c r="Y543">
        <v>2.63</v>
      </c>
      <c r="Z543">
        <v>48.5</v>
      </c>
      <c r="AA543">
        <v>5.5</v>
      </c>
      <c r="AB543">
        <v>0.41</v>
      </c>
      <c r="AC543">
        <v>3.036</v>
      </c>
      <c r="AK543" t="s">
        <v>98</v>
      </c>
      <c r="AM543" t="s">
        <v>98</v>
      </c>
      <c r="AN543" t="s">
        <v>98</v>
      </c>
      <c r="AO543" t="s">
        <v>98</v>
      </c>
      <c r="AP543" t="s">
        <v>99</v>
      </c>
      <c r="AQ543" t="s">
        <v>102</v>
      </c>
      <c r="AV543" t="s">
        <v>98</v>
      </c>
      <c r="AX543" t="s">
        <v>261</v>
      </c>
      <c r="BF543" t="s">
        <v>1755</v>
      </c>
      <c r="BG543" t="s">
        <v>98</v>
      </c>
      <c r="BH543" t="s">
        <v>98</v>
      </c>
      <c r="BI543" t="s">
        <v>98</v>
      </c>
      <c r="BK543" t="s">
        <v>138</v>
      </c>
      <c r="CA543" t="s">
        <v>1654</v>
      </c>
      <c r="CB543" t="s">
        <v>261</v>
      </c>
      <c r="CL543" t="s">
        <v>98</v>
      </c>
      <c r="CM543" t="s">
        <v>98</v>
      </c>
      <c r="CO543" s="1">
        <v>39728</v>
      </c>
      <c r="CP543" s="1">
        <v>43595</v>
      </c>
    </row>
    <row r="544" spans="1:94" x14ac:dyDescent="0.25">
      <c r="A544" s="4" t="s">
        <v>1756</v>
      </c>
      <c r="B544" t="str">
        <f xml:space="preserve"> "" &amp; 706411035913</f>
        <v>706411035913</v>
      </c>
      <c r="C544" t="s">
        <v>786</v>
      </c>
      <c r="D544" t="s">
        <v>1757</v>
      </c>
      <c r="F544" t="s">
        <v>135</v>
      </c>
      <c r="G544">
        <v>1</v>
      </c>
      <c r="H544">
        <v>1</v>
      </c>
      <c r="I544" t="s">
        <v>97</v>
      </c>
      <c r="J544" s="32">
        <v>24</v>
      </c>
      <c r="K544" s="32">
        <v>72</v>
      </c>
      <c r="L544">
        <v>0</v>
      </c>
      <c r="N544">
        <v>0</v>
      </c>
      <c r="S544">
        <v>48</v>
      </c>
      <c r="U544">
        <v>0.75</v>
      </c>
      <c r="V544">
        <v>0.2</v>
      </c>
      <c r="W544">
        <v>2.98</v>
      </c>
      <c r="X544">
        <v>1</v>
      </c>
      <c r="Y544">
        <v>2.63</v>
      </c>
      <c r="Z544">
        <v>48.5</v>
      </c>
      <c r="AA544">
        <v>5.5</v>
      </c>
      <c r="AB544">
        <v>0.41</v>
      </c>
      <c r="AC544">
        <v>3.036</v>
      </c>
      <c r="AK544" t="s">
        <v>98</v>
      </c>
      <c r="AM544" t="s">
        <v>98</v>
      </c>
      <c r="AN544" t="s">
        <v>98</v>
      </c>
      <c r="AO544" t="s">
        <v>98</v>
      </c>
      <c r="AP544" t="s">
        <v>99</v>
      </c>
      <c r="AQ544" t="s">
        <v>102</v>
      </c>
      <c r="AV544" t="s">
        <v>98</v>
      </c>
      <c r="AX544" t="s">
        <v>265</v>
      </c>
      <c r="BF544" t="s">
        <v>1758</v>
      </c>
      <c r="BG544" t="s">
        <v>98</v>
      </c>
      <c r="BH544" t="s">
        <v>98</v>
      </c>
      <c r="BI544" t="s">
        <v>98</v>
      </c>
      <c r="BK544" t="s">
        <v>138</v>
      </c>
      <c r="CA544" t="s">
        <v>1654</v>
      </c>
      <c r="CB544" t="s">
        <v>265</v>
      </c>
      <c r="CL544" t="s">
        <v>98</v>
      </c>
      <c r="CM544" t="s">
        <v>98</v>
      </c>
      <c r="CO544" s="1">
        <v>39728</v>
      </c>
      <c r="CP544" s="1">
        <v>43595</v>
      </c>
    </row>
    <row r="545" spans="1:94" x14ac:dyDescent="0.25">
      <c r="A545" s="4" t="s">
        <v>1759</v>
      </c>
      <c r="B545" t="str">
        <f xml:space="preserve"> "" &amp; 706411025129</f>
        <v>706411025129</v>
      </c>
      <c r="C545" t="s">
        <v>786</v>
      </c>
      <c r="D545" t="s">
        <v>4422</v>
      </c>
      <c r="F545" t="s">
        <v>135</v>
      </c>
      <c r="G545">
        <v>1</v>
      </c>
      <c r="H545">
        <v>1</v>
      </c>
      <c r="I545" t="s">
        <v>97</v>
      </c>
      <c r="J545" s="32">
        <v>24</v>
      </c>
      <c r="K545" s="32">
        <v>72</v>
      </c>
      <c r="L545">
        <v>0</v>
      </c>
      <c r="N545">
        <v>0</v>
      </c>
      <c r="S545">
        <v>48</v>
      </c>
      <c r="U545">
        <v>0.75</v>
      </c>
      <c r="V545">
        <v>0.2</v>
      </c>
      <c r="W545">
        <v>2.98</v>
      </c>
      <c r="X545">
        <v>1</v>
      </c>
      <c r="Y545">
        <v>2.63</v>
      </c>
      <c r="Z545">
        <v>48.5</v>
      </c>
      <c r="AA545">
        <v>5.5</v>
      </c>
      <c r="AB545">
        <v>0.41</v>
      </c>
      <c r="AC545">
        <v>3.036</v>
      </c>
      <c r="AK545" t="s">
        <v>98</v>
      </c>
      <c r="AM545" t="s">
        <v>98</v>
      </c>
      <c r="AN545" t="s">
        <v>98</v>
      </c>
      <c r="AO545" t="s">
        <v>98</v>
      </c>
      <c r="AP545" t="s">
        <v>99</v>
      </c>
      <c r="AQ545" t="s">
        <v>102</v>
      </c>
      <c r="AV545" t="s">
        <v>98</v>
      </c>
      <c r="AX545" t="s">
        <v>426</v>
      </c>
      <c r="BF545" t="s">
        <v>1760</v>
      </c>
      <c r="BG545" t="s">
        <v>98</v>
      </c>
      <c r="BH545" t="s">
        <v>98</v>
      </c>
      <c r="BI545" t="s">
        <v>98</v>
      </c>
      <c r="BK545" t="s">
        <v>138</v>
      </c>
      <c r="CA545" t="s">
        <v>1654</v>
      </c>
      <c r="CB545" t="s">
        <v>426</v>
      </c>
      <c r="CL545" t="s">
        <v>98</v>
      </c>
      <c r="CM545" t="s">
        <v>98</v>
      </c>
      <c r="CO545" s="1">
        <v>39728</v>
      </c>
      <c r="CP545" s="1">
        <v>43595</v>
      </c>
    </row>
    <row r="546" spans="1:94" x14ac:dyDescent="0.25">
      <c r="A546" s="4" t="s">
        <v>1761</v>
      </c>
      <c r="B546" t="str">
        <f xml:space="preserve"> "" &amp; 706411044663</f>
        <v>706411044663</v>
      </c>
      <c r="C546" t="s">
        <v>786</v>
      </c>
      <c r="D546" t="s">
        <v>1762</v>
      </c>
      <c r="F546" t="s">
        <v>135</v>
      </c>
      <c r="G546">
        <v>1</v>
      </c>
      <c r="H546">
        <v>1</v>
      </c>
      <c r="I546" t="s">
        <v>97</v>
      </c>
      <c r="J546" s="32">
        <v>24</v>
      </c>
      <c r="K546" s="32">
        <v>72</v>
      </c>
      <c r="L546">
        <v>0</v>
      </c>
      <c r="N546">
        <v>0</v>
      </c>
      <c r="S546">
        <v>48</v>
      </c>
      <c r="U546">
        <v>0.75</v>
      </c>
      <c r="V546">
        <v>0.2</v>
      </c>
      <c r="W546">
        <v>2.98</v>
      </c>
      <c r="X546">
        <v>1</v>
      </c>
      <c r="Y546">
        <v>2.63</v>
      </c>
      <c r="Z546">
        <v>48.5</v>
      </c>
      <c r="AA546">
        <v>5.5</v>
      </c>
      <c r="AB546">
        <v>0.41</v>
      </c>
      <c r="AC546">
        <v>3.036</v>
      </c>
      <c r="AK546" t="s">
        <v>98</v>
      </c>
      <c r="AM546" t="s">
        <v>98</v>
      </c>
      <c r="AN546" t="s">
        <v>98</v>
      </c>
      <c r="AO546" t="s">
        <v>98</v>
      </c>
      <c r="AP546" t="s">
        <v>99</v>
      </c>
      <c r="AQ546" t="s">
        <v>102</v>
      </c>
      <c r="AV546" t="s">
        <v>98</v>
      </c>
      <c r="AX546" t="s">
        <v>430</v>
      </c>
      <c r="BF546" t="s">
        <v>1763</v>
      </c>
      <c r="BG546" t="s">
        <v>98</v>
      </c>
      <c r="BH546" t="s">
        <v>98</v>
      </c>
      <c r="BI546" t="s">
        <v>98</v>
      </c>
      <c r="CB546" t="s">
        <v>430</v>
      </c>
      <c r="CL546" t="s">
        <v>98</v>
      </c>
      <c r="CM546" t="s">
        <v>98</v>
      </c>
      <c r="CP546" s="1">
        <v>43595</v>
      </c>
    </row>
    <row r="547" spans="1:94" x14ac:dyDescent="0.25">
      <c r="A547" s="4" t="s">
        <v>1764</v>
      </c>
      <c r="B547" t="str">
        <f xml:space="preserve"> "" &amp; 706411034862</f>
        <v>706411034862</v>
      </c>
      <c r="C547" t="s">
        <v>786</v>
      </c>
      <c r="D547" t="s">
        <v>1765</v>
      </c>
      <c r="F547" t="s">
        <v>135</v>
      </c>
      <c r="G547">
        <v>1</v>
      </c>
      <c r="H547">
        <v>1</v>
      </c>
      <c r="I547" t="s">
        <v>97</v>
      </c>
      <c r="J547" s="32">
        <v>24</v>
      </c>
      <c r="K547" s="32">
        <v>72</v>
      </c>
      <c r="L547">
        <v>0</v>
      </c>
      <c r="N547">
        <v>0</v>
      </c>
      <c r="S547">
        <v>48</v>
      </c>
      <c r="U547">
        <v>0.75</v>
      </c>
      <c r="V547">
        <v>0.2</v>
      </c>
      <c r="W547">
        <v>2.98</v>
      </c>
      <c r="X547">
        <v>1</v>
      </c>
      <c r="Y547">
        <v>2.63</v>
      </c>
      <c r="Z547">
        <v>48.5</v>
      </c>
      <c r="AA547">
        <v>5.5</v>
      </c>
      <c r="AB547">
        <v>0.41</v>
      </c>
      <c r="AC547">
        <v>3.036</v>
      </c>
      <c r="AK547" t="s">
        <v>98</v>
      </c>
      <c r="AM547" t="s">
        <v>98</v>
      </c>
      <c r="AN547" t="s">
        <v>98</v>
      </c>
      <c r="AO547" t="s">
        <v>98</v>
      </c>
      <c r="AP547" t="s">
        <v>99</v>
      </c>
      <c r="AQ547" t="s">
        <v>102</v>
      </c>
      <c r="AV547" t="s">
        <v>98</v>
      </c>
      <c r="AX547" t="s">
        <v>1149</v>
      </c>
      <c r="BF547" t="s">
        <v>1766</v>
      </c>
      <c r="BG547" t="s">
        <v>98</v>
      </c>
      <c r="BH547" t="s">
        <v>98</v>
      </c>
      <c r="BI547" t="s">
        <v>98</v>
      </c>
      <c r="BK547" t="s">
        <v>138</v>
      </c>
      <c r="CA547" t="s">
        <v>1654</v>
      </c>
      <c r="CB547" t="s">
        <v>1149</v>
      </c>
      <c r="CL547" t="s">
        <v>98</v>
      </c>
      <c r="CM547" t="s">
        <v>98</v>
      </c>
      <c r="CO547" s="1">
        <v>39728</v>
      </c>
      <c r="CP547" s="1">
        <v>43595</v>
      </c>
    </row>
    <row r="548" spans="1:94" x14ac:dyDescent="0.25">
      <c r="A548" s="4" t="s">
        <v>1767</v>
      </c>
      <c r="B548" t="str">
        <f xml:space="preserve"> "" &amp; 706411043291</f>
        <v>706411043291</v>
      </c>
      <c r="C548" t="s">
        <v>786</v>
      </c>
      <c r="D548" t="s">
        <v>1768</v>
      </c>
      <c r="F548" t="s">
        <v>135</v>
      </c>
      <c r="G548">
        <v>1</v>
      </c>
      <c r="H548">
        <v>1</v>
      </c>
      <c r="I548" t="s">
        <v>97</v>
      </c>
      <c r="J548" s="32">
        <v>24</v>
      </c>
      <c r="K548" s="32">
        <v>72</v>
      </c>
      <c r="L548">
        <v>0</v>
      </c>
      <c r="N548">
        <v>0</v>
      </c>
      <c r="S548">
        <v>48</v>
      </c>
      <c r="U548">
        <v>0.75</v>
      </c>
      <c r="V548">
        <v>0.2</v>
      </c>
      <c r="W548">
        <v>2.98</v>
      </c>
      <c r="X548">
        <v>1</v>
      </c>
      <c r="Y548">
        <v>2.63</v>
      </c>
      <c r="Z548">
        <v>48.5</v>
      </c>
      <c r="AA548">
        <v>5.5</v>
      </c>
      <c r="AB548">
        <v>0.41</v>
      </c>
      <c r="AC548">
        <v>3.036</v>
      </c>
      <c r="AK548" t="s">
        <v>98</v>
      </c>
      <c r="AM548" t="s">
        <v>98</v>
      </c>
      <c r="AN548" t="s">
        <v>98</v>
      </c>
      <c r="AO548" t="s">
        <v>98</v>
      </c>
      <c r="AP548" t="s">
        <v>99</v>
      </c>
      <c r="AQ548" t="s">
        <v>102</v>
      </c>
      <c r="AV548" t="s">
        <v>98</v>
      </c>
      <c r="AX548" t="s">
        <v>269</v>
      </c>
      <c r="BF548" t="s">
        <v>1769</v>
      </c>
      <c r="BG548" t="s">
        <v>98</v>
      </c>
      <c r="BH548" t="s">
        <v>98</v>
      </c>
      <c r="BI548" t="s">
        <v>98</v>
      </c>
      <c r="BK548" t="s">
        <v>138</v>
      </c>
      <c r="CA548" t="s">
        <v>1654</v>
      </c>
      <c r="CB548" t="s">
        <v>269</v>
      </c>
      <c r="CL548" t="s">
        <v>98</v>
      </c>
      <c r="CM548" t="s">
        <v>98</v>
      </c>
      <c r="CN548" t="s">
        <v>349</v>
      </c>
      <c r="CO548" s="1">
        <v>43414</v>
      </c>
      <c r="CP548" s="1">
        <v>43595</v>
      </c>
    </row>
    <row r="549" spans="1:94" x14ac:dyDescent="0.25">
      <c r="A549" s="4" t="s">
        <v>1770</v>
      </c>
      <c r="B549" t="str">
        <f xml:space="preserve"> "" &amp; 706411041907</f>
        <v>706411041907</v>
      </c>
      <c r="C549" t="s">
        <v>786</v>
      </c>
      <c r="D549" t="s">
        <v>1771</v>
      </c>
      <c r="F549" t="s">
        <v>135</v>
      </c>
      <c r="G549">
        <v>1</v>
      </c>
      <c r="H549">
        <v>1</v>
      </c>
      <c r="I549" t="s">
        <v>97</v>
      </c>
      <c r="J549" s="32">
        <v>24</v>
      </c>
      <c r="K549" s="32">
        <v>72</v>
      </c>
      <c r="L549">
        <v>0</v>
      </c>
      <c r="N549">
        <v>0</v>
      </c>
      <c r="S549">
        <v>48</v>
      </c>
      <c r="U549">
        <v>0.75</v>
      </c>
      <c r="V549">
        <v>0.2</v>
      </c>
      <c r="W549">
        <v>2.98</v>
      </c>
      <c r="X549">
        <v>1</v>
      </c>
      <c r="Y549">
        <v>2.63</v>
      </c>
      <c r="Z549">
        <v>48.5</v>
      </c>
      <c r="AA549">
        <v>5.5</v>
      </c>
      <c r="AB549">
        <v>0.41</v>
      </c>
      <c r="AC549">
        <v>3.036</v>
      </c>
      <c r="AK549" t="s">
        <v>98</v>
      </c>
      <c r="AM549" t="s">
        <v>98</v>
      </c>
      <c r="AN549" t="s">
        <v>98</v>
      </c>
      <c r="AO549" t="s">
        <v>98</v>
      </c>
      <c r="AP549" t="s">
        <v>99</v>
      </c>
      <c r="AQ549" t="s">
        <v>102</v>
      </c>
      <c r="AV549" t="s">
        <v>98</v>
      </c>
      <c r="AX549" t="s">
        <v>441</v>
      </c>
      <c r="BF549" t="s">
        <v>1772</v>
      </c>
      <c r="BG549" t="s">
        <v>98</v>
      </c>
      <c r="BH549" t="s">
        <v>98</v>
      </c>
      <c r="BI549" t="s">
        <v>98</v>
      </c>
      <c r="BK549" t="s">
        <v>138</v>
      </c>
      <c r="CA549" t="s">
        <v>1654</v>
      </c>
      <c r="CB549" t="s">
        <v>441</v>
      </c>
      <c r="CL549" t="s">
        <v>98</v>
      </c>
      <c r="CM549" t="s">
        <v>98</v>
      </c>
      <c r="CO549" s="1">
        <v>40728</v>
      </c>
      <c r="CP549" s="1">
        <v>43595</v>
      </c>
    </row>
    <row r="550" spans="1:94" x14ac:dyDescent="0.25">
      <c r="A550" s="4" t="s">
        <v>1773</v>
      </c>
      <c r="B550" t="str">
        <f xml:space="preserve"> "" &amp; 706411029295</f>
        <v>706411029295</v>
      </c>
      <c r="C550" t="s">
        <v>786</v>
      </c>
      <c r="D550" t="s">
        <v>1774</v>
      </c>
      <c r="F550" t="s">
        <v>135</v>
      </c>
      <c r="G550">
        <v>1</v>
      </c>
      <c r="H550">
        <v>1</v>
      </c>
      <c r="I550" t="s">
        <v>97</v>
      </c>
      <c r="J550" s="32">
        <v>24</v>
      </c>
      <c r="K550" s="32">
        <v>72</v>
      </c>
      <c r="L550">
        <v>0</v>
      </c>
      <c r="N550">
        <v>0</v>
      </c>
      <c r="S550">
        <v>48</v>
      </c>
      <c r="U550">
        <v>0.75</v>
      </c>
      <c r="V550">
        <v>0.2</v>
      </c>
      <c r="W550">
        <v>2.98</v>
      </c>
      <c r="X550">
        <v>1</v>
      </c>
      <c r="Y550">
        <v>2.63</v>
      </c>
      <c r="Z550">
        <v>48.5</v>
      </c>
      <c r="AA550">
        <v>5.5</v>
      </c>
      <c r="AB550">
        <v>0.41</v>
      </c>
      <c r="AC550">
        <v>3.036</v>
      </c>
      <c r="AK550" t="s">
        <v>98</v>
      </c>
      <c r="AM550" t="s">
        <v>98</v>
      </c>
      <c r="AN550" t="s">
        <v>98</v>
      </c>
      <c r="AO550" t="s">
        <v>98</v>
      </c>
      <c r="AP550" t="s">
        <v>99</v>
      </c>
      <c r="AQ550" t="s">
        <v>102</v>
      </c>
      <c r="AV550" t="s">
        <v>98</v>
      </c>
      <c r="AX550" t="s">
        <v>273</v>
      </c>
      <c r="BF550" t="s">
        <v>1775</v>
      </c>
      <c r="BG550" t="s">
        <v>98</v>
      </c>
      <c r="BH550" t="s">
        <v>98</v>
      </c>
      <c r="BI550" t="s">
        <v>98</v>
      </c>
      <c r="BK550" t="s">
        <v>138</v>
      </c>
      <c r="CA550" t="s">
        <v>1654</v>
      </c>
      <c r="CB550" t="s">
        <v>273</v>
      </c>
      <c r="CL550" t="s">
        <v>98</v>
      </c>
      <c r="CM550" t="s">
        <v>98</v>
      </c>
      <c r="CO550" s="1">
        <v>39728</v>
      </c>
      <c r="CP550" s="1">
        <v>43595</v>
      </c>
    </row>
    <row r="551" spans="1:94" x14ac:dyDescent="0.25">
      <c r="A551" s="4" t="s">
        <v>1776</v>
      </c>
      <c r="B551" t="str">
        <f xml:space="preserve"> "" &amp; 706411025822</f>
        <v>706411025822</v>
      </c>
      <c r="C551" t="s">
        <v>786</v>
      </c>
      <c r="D551" t="s">
        <v>1777</v>
      </c>
      <c r="F551" t="s">
        <v>135</v>
      </c>
      <c r="G551">
        <v>1</v>
      </c>
      <c r="H551">
        <v>1</v>
      </c>
      <c r="I551" t="s">
        <v>97</v>
      </c>
      <c r="J551" s="32">
        <v>24</v>
      </c>
      <c r="K551" s="32">
        <v>72</v>
      </c>
      <c r="L551">
        <v>0</v>
      </c>
      <c r="N551">
        <v>0</v>
      </c>
      <c r="S551">
        <v>48</v>
      </c>
      <c r="U551">
        <v>0.75</v>
      </c>
      <c r="V551">
        <v>0.2</v>
      </c>
      <c r="W551">
        <v>2.98</v>
      </c>
      <c r="X551">
        <v>1</v>
      </c>
      <c r="Y551">
        <v>2.63</v>
      </c>
      <c r="Z551">
        <v>48.5</v>
      </c>
      <c r="AA551">
        <v>5.5</v>
      </c>
      <c r="AB551">
        <v>0.41</v>
      </c>
      <c r="AC551">
        <v>3.036</v>
      </c>
      <c r="AK551" t="s">
        <v>98</v>
      </c>
      <c r="AM551" t="s">
        <v>98</v>
      </c>
      <c r="AN551" t="s">
        <v>98</v>
      </c>
      <c r="AO551" t="s">
        <v>98</v>
      </c>
      <c r="AP551" t="s">
        <v>99</v>
      </c>
      <c r="AQ551" t="s">
        <v>102</v>
      </c>
      <c r="AV551" t="s">
        <v>98</v>
      </c>
      <c r="AX551" t="s">
        <v>277</v>
      </c>
      <c r="BF551" t="s">
        <v>1778</v>
      </c>
      <c r="BG551" t="s">
        <v>98</v>
      </c>
      <c r="BH551" t="s">
        <v>98</v>
      </c>
      <c r="BI551" t="s">
        <v>98</v>
      </c>
      <c r="BK551" t="s">
        <v>138</v>
      </c>
      <c r="CA551" t="s">
        <v>1654</v>
      </c>
      <c r="CB551" t="s">
        <v>277</v>
      </c>
      <c r="CL551" t="s">
        <v>98</v>
      </c>
      <c r="CM551" t="s">
        <v>98</v>
      </c>
      <c r="CO551" s="1">
        <v>39728</v>
      </c>
      <c r="CP551" s="1">
        <v>43595</v>
      </c>
    </row>
    <row r="552" spans="1:94" x14ac:dyDescent="0.25">
      <c r="A552" s="4" t="s">
        <v>1779</v>
      </c>
      <c r="B552" t="str">
        <f xml:space="preserve"> "" &amp; 706411061462</f>
        <v>706411061462</v>
      </c>
      <c r="C552" t="s">
        <v>786</v>
      </c>
      <c r="D552" t="s">
        <v>1780</v>
      </c>
      <c r="F552" t="s">
        <v>135</v>
      </c>
      <c r="G552">
        <v>1</v>
      </c>
      <c r="H552">
        <v>1</v>
      </c>
      <c r="I552" t="s">
        <v>97</v>
      </c>
      <c r="J552" s="32">
        <v>24</v>
      </c>
      <c r="K552" s="32">
        <v>72</v>
      </c>
      <c r="L552">
        <v>0</v>
      </c>
      <c r="N552">
        <v>0</v>
      </c>
      <c r="S552">
        <v>48</v>
      </c>
      <c r="U552">
        <v>0.75</v>
      </c>
      <c r="V552">
        <v>0.2</v>
      </c>
      <c r="W552">
        <v>2.98</v>
      </c>
      <c r="X552">
        <v>1</v>
      </c>
      <c r="Y552">
        <v>2.63</v>
      </c>
      <c r="Z552">
        <v>48.5</v>
      </c>
      <c r="AA552">
        <v>5.5</v>
      </c>
      <c r="AB552">
        <v>0.41</v>
      </c>
      <c r="AC552">
        <v>3.036</v>
      </c>
      <c r="AK552" t="s">
        <v>98</v>
      </c>
      <c r="AM552" t="s">
        <v>98</v>
      </c>
      <c r="AN552" t="s">
        <v>98</v>
      </c>
      <c r="AO552" t="s">
        <v>98</v>
      </c>
      <c r="AP552" t="s">
        <v>99</v>
      </c>
      <c r="AQ552" t="s">
        <v>102</v>
      </c>
      <c r="AV552" t="s">
        <v>98</v>
      </c>
      <c r="AX552" t="s">
        <v>281</v>
      </c>
      <c r="BF552" t="s">
        <v>1781</v>
      </c>
      <c r="BG552" t="s">
        <v>98</v>
      </c>
      <c r="BH552" t="s">
        <v>98</v>
      </c>
      <c r="BI552" t="s">
        <v>98</v>
      </c>
      <c r="BK552" t="s">
        <v>138</v>
      </c>
      <c r="CA552" t="s">
        <v>1654</v>
      </c>
      <c r="CB552" t="s">
        <v>281</v>
      </c>
      <c r="CL552" t="s">
        <v>98</v>
      </c>
      <c r="CM552" t="s">
        <v>98</v>
      </c>
      <c r="CN552" t="s">
        <v>349</v>
      </c>
      <c r="CO552" s="1">
        <v>43388</v>
      </c>
      <c r="CP552" s="1">
        <v>43595</v>
      </c>
    </row>
    <row r="553" spans="1:94" x14ac:dyDescent="0.25">
      <c r="A553" s="4" t="s">
        <v>1782</v>
      </c>
      <c r="B553" t="str">
        <f xml:space="preserve"> "" &amp; 706411019982</f>
        <v>706411019982</v>
      </c>
      <c r="C553" t="s">
        <v>786</v>
      </c>
      <c r="D553" t="s">
        <v>4423</v>
      </c>
      <c r="F553" t="s">
        <v>135</v>
      </c>
      <c r="G553">
        <v>1</v>
      </c>
      <c r="H553">
        <v>1</v>
      </c>
      <c r="I553" t="s">
        <v>97</v>
      </c>
      <c r="J553" s="32">
        <v>24</v>
      </c>
      <c r="K553" s="32">
        <v>72</v>
      </c>
      <c r="L553">
        <v>0</v>
      </c>
      <c r="N553">
        <v>0</v>
      </c>
      <c r="S553">
        <v>48</v>
      </c>
      <c r="U553">
        <v>0.75</v>
      </c>
      <c r="V553">
        <v>0.2</v>
      </c>
      <c r="W553">
        <v>2.98</v>
      </c>
      <c r="X553">
        <v>1</v>
      </c>
      <c r="Y553">
        <v>2.63</v>
      </c>
      <c r="Z553">
        <v>48.5</v>
      </c>
      <c r="AA553">
        <v>5.5</v>
      </c>
      <c r="AB553">
        <v>0.41</v>
      </c>
      <c r="AC553">
        <v>3.036</v>
      </c>
      <c r="AK553" t="s">
        <v>98</v>
      </c>
      <c r="AM553" t="s">
        <v>98</v>
      </c>
      <c r="AN553" t="s">
        <v>98</v>
      </c>
      <c r="AO553" t="s">
        <v>98</v>
      </c>
      <c r="AP553" t="s">
        <v>99</v>
      </c>
      <c r="AQ553" t="s">
        <v>102</v>
      </c>
      <c r="AV553" t="s">
        <v>98</v>
      </c>
      <c r="AX553" t="s">
        <v>284</v>
      </c>
      <c r="BF553" t="s">
        <v>1783</v>
      </c>
      <c r="BG553" t="s">
        <v>98</v>
      </c>
      <c r="BH553" t="s">
        <v>98</v>
      </c>
      <c r="BI553" t="s">
        <v>98</v>
      </c>
      <c r="BK553" t="s">
        <v>138</v>
      </c>
      <c r="CA553" t="s">
        <v>1654</v>
      </c>
      <c r="CB553" t="s">
        <v>284</v>
      </c>
      <c r="CL553" t="s">
        <v>98</v>
      </c>
      <c r="CM553" t="s">
        <v>98</v>
      </c>
      <c r="CO553" s="1">
        <v>39728</v>
      </c>
      <c r="CP553" s="1">
        <v>43595</v>
      </c>
    </row>
    <row r="554" spans="1:94" x14ac:dyDescent="0.25">
      <c r="A554" s="4" t="s">
        <v>1784</v>
      </c>
      <c r="B554" t="str">
        <f xml:space="preserve"> "" &amp; 706411062421</f>
        <v>706411062421</v>
      </c>
      <c r="C554" t="s">
        <v>786</v>
      </c>
      <c r="D554" t="s">
        <v>1785</v>
      </c>
      <c r="F554" t="s">
        <v>135</v>
      </c>
      <c r="G554">
        <v>1</v>
      </c>
      <c r="H554">
        <v>1</v>
      </c>
      <c r="I554" t="s">
        <v>97</v>
      </c>
      <c r="J554" s="32">
        <v>24</v>
      </c>
      <c r="K554" s="32">
        <v>72</v>
      </c>
      <c r="L554">
        <v>0</v>
      </c>
      <c r="N554">
        <v>0</v>
      </c>
      <c r="S554">
        <v>48</v>
      </c>
      <c r="U554">
        <v>0.75</v>
      </c>
      <c r="V554">
        <v>0.2</v>
      </c>
      <c r="W554">
        <v>2.98</v>
      </c>
      <c r="X554">
        <v>1</v>
      </c>
      <c r="Y554">
        <v>2.63</v>
      </c>
      <c r="Z554">
        <v>48.5</v>
      </c>
      <c r="AA554">
        <v>5.5</v>
      </c>
      <c r="AB554">
        <v>0.41</v>
      </c>
      <c r="AC554">
        <v>3.036</v>
      </c>
      <c r="AK554" t="s">
        <v>98</v>
      </c>
      <c r="AM554" t="s">
        <v>98</v>
      </c>
      <c r="AN554" t="s">
        <v>98</v>
      </c>
      <c r="AO554" t="s">
        <v>98</v>
      </c>
      <c r="AP554" t="s">
        <v>99</v>
      </c>
      <c r="AQ554" t="s">
        <v>102</v>
      </c>
      <c r="AV554" t="s">
        <v>98</v>
      </c>
      <c r="AX554" t="s">
        <v>289</v>
      </c>
      <c r="BF554" t="s">
        <v>1786</v>
      </c>
      <c r="BG554" t="s">
        <v>98</v>
      </c>
      <c r="BH554" t="s">
        <v>98</v>
      </c>
      <c r="BI554" t="s">
        <v>98</v>
      </c>
      <c r="BJ554" t="s">
        <v>291</v>
      </c>
      <c r="BK554" t="s">
        <v>292</v>
      </c>
      <c r="CA554" t="s">
        <v>1654</v>
      </c>
      <c r="CB554" t="s">
        <v>289</v>
      </c>
      <c r="CL554" t="s">
        <v>98</v>
      </c>
      <c r="CM554" t="s">
        <v>98</v>
      </c>
      <c r="CN554" t="s">
        <v>349</v>
      </c>
      <c r="CO554" s="1">
        <v>43571</v>
      </c>
      <c r="CP554" s="1">
        <v>43588</v>
      </c>
    </row>
    <row r="555" spans="1:94" x14ac:dyDescent="0.25">
      <c r="A555" s="4" t="s">
        <v>1787</v>
      </c>
      <c r="B555" t="str">
        <f xml:space="preserve"> "" &amp; 706411300844</f>
        <v>706411300844</v>
      </c>
      <c r="C555" t="s">
        <v>786</v>
      </c>
      <c r="D555" t="s">
        <v>4425</v>
      </c>
      <c r="F555" t="s">
        <v>135</v>
      </c>
      <c r="G555">
        <v>1</v>
      </c>
      <c r="H555">
        <v>1</v>
      </c>
      <c r="I555" t="s">
        <v>97</v>
      </c>
      <c r="J555" s="32">
        <v>24</v>
      </c>
      <c r="K555" s="32">
        <v>72</v>
      </c>
      <c r="L555">
        <v>0</v>
      </c>
      <c r="N555">
        <v>0</v>
      </c>
      <c r="S555">
        <v>48</v>
      </c>
      <c r="U555">
        <v>0.75</v>
      </c>
      <c r="V555">
        <v>0.2</v>
      </c>
      <c r="W555">
        <v>2.98</v>
      </c>
      <c r="X555">
        <v>1</v>
      </c>
      <c r="Y555">
        <v>2.63</v>
      </c>
      <c r="Z555">
        <v>48.5</v>
      </c>
      <c r="AA555">
        <v>5.5</v>
      </c>
      <c r="AB555">
        <v>0.41</v>
      </c>
      <c r="AC555">
        <v>3.036</v>
      </c>
      <c r="AK555" t="s">
        <v>98</v>
      </c>
      <c r="AM555" t="s">
        <v>98</v>
      </c>
      <c r="AN555" t="s">
        <v>98</v>
      </c>
      <c r="AO555" t="s">
        <v>98</v>
      </c>
      <c r="AP555" t="s">
        <v>99</v>
      </c>
      <c r="AQ555" t="s">
        <v>102</v>
      </c>
      <c r="AV555" t="s">
        <v>98</v>
      </c>
      <c r="AX555" t="s">
        <v>458</v>
      </c>
      <c r="BF555" t="s">
        <v>1788</v>
      </c>
      <c r="BG555" t="s">
        <v>98</v>
      </c>
      <c r="BH555" t="s">
        <v>98</v>
      </c>
      <c r="BI555" t="s">
        <v>98</v>
      </c>
      <c r="BK555" t="s">
        <v>138</v>
      </c>
      <c r="CA555" t="s">
        <v>1654</v>
      </c>
      <c r="CB555" t="s">
        <v>458</v>
      </c>
      <c r="CL555" t="s">
        <v>98</v>
      </c>
      <c r="CM555" t="s">
        <v>98</v>
      </c>
      <c r="CO555" s="1">
        <v>39728</v>
      </c>
      <c r="CP555" s="1">
        <v>43595</v>
      </c>
    </row>
    <row r="556" spans="1:94" x14ac:dyDescent="0.25">
      <c r="A556" s="4" t="s">
        <v>1789</v>
      </c>
      <c r="B556" t="str">
        <f xml:space="preserve"> "" &amp; 706411043307</f>
        <v>706411043307</v>
      </c>
      <c r="C556" t="s">
        <v>786</v>
      </c>
      <c r="D556" t="s">
        <v>1790</v>
      </c>
      <c r="F556" t="s">
        <v>135</v>
      </c>
      <c r="G556">
        <v>1</v>
      </c>
      <c r="H556">
        <v>1</v>
      </c>
      <c r="I556" t="s">
        <v>97</v>
      </c>
      <c r="J556" s="32">
        <v>24</v>
      </c>
      <c r="K556" s="32">
        <v>72</v>
      </c>
      <c r="L556">
        <v>0</v>
      </c>
      <c r="N556">
        <v>0</v>
      </c>
      <c r="S556">
        <v>48</v>
      </c>
      <c r="U556">
        <v>0.75</v>
      </c>
      <c r="V556">
        <v>0.2</v>
      </c>
      <c r="W556">
        <v>2.98</v>
      </c>
      <c r="X556">
        <v>1</v>
      </c>
      <c r="Y556">
        <v>2.63</v>
      </c>
      <c r="Z556">
        <v>48.5</v>
      </c>
      <c r="AA556">
        <v>5.5</v>
      </c>
      <c r="AB556">
        <v>0.41</v>
      </c>
      <c r="AC556">
        <v>3.036</v>
      </c>
      <c r="AK556" t="s">
        <v>98</v>
      </c>
      <c r="AM556" t="s">
        <v>98</v>
      </c>
      <c r="AN556" t="s">
        <v>98</v>
      </c>
      <c r="AO556" t="s">
        <v>98</v>
      </c>
      <c r="AP556" t="s">
        <v>99</v>
      </c>
      <c r="AQ556" t="s">
        <v>102</v>
      </c>
      <c r="AV556" t="s">
        <v>98</v>
      </c>
      <c r="AX556" t="s">
        <v>295</v>
      </c>
      <c r="BF556" t="s">
        <v>1791</v>
      </c>
      <c r="BG556" t="s">
        <v>98</v>
      </c>
      <c r="BH556" t="s">
        <v>98</v>
      </c>
      <c r="BI556" t="s">
        <v>98</v>
      </c>
      <c r="CB556" t="s">
        <v>295</v>
      </c>
      <c r="CL556" t="s">
        <v>98</v>
      </c>
      <c r="CM556" t="s">
        <v>98</v>
      </c>
      <c r="CP556" s="1">
        <v>43595</v>
      </c>
    </row>
    <row r="557" spans="1:94" x14ac:dyDescent="0.25">
      <c r="A557" s="4" t="s">
        <v>1792</v>
      </c>
      <c r="B557" t="str">
        <f xml:space="preserve"> "" &amp; 706411019999</f>
        <v>706411019999</v>
      </c>
      <c r="C557" t="s">
        <v>786</v>
      </c>
      <c r="D557" t="s">
        <v>4424</v>
      </c>
      <c r="F557" t="s">
        <v>135</v>
      </c>
      <c r="G557">
        <v>1</v>
      </c>
      <c r="H557">
        <v>1</v>
      </c>
      <c r="I557" t="s">
        <v>97</v>
      </c>
      <c r="J557" s="32">
        <v>24</v>
      </c>
      <c r="K557" s="32">
        <v>72</v>
      </c>
      <c r="L557">
        <v>0</v>
      </c>
      <c r="N557">
        <v>0</v>
      </c>
      <c r="S557">
        <v>48</v>
      </c>
      <c r="U557">
        <v>0.75</v>
      </c>
      <c r="V557">
        <v>0.2</v>
      </c>
      <c r="W557">
        <v>2.98</v>
      </c>
      <c r="X557">
        <v>1</v>
      </c>
      <c r="Y557">
        <v>2.63</v>
      </c>
      <c r="Z557">
        <v>48.5</v>
      </c>
      <c r="AA557">
        <v>5.5</v>
      </c>
      <c r="AB557">
        <v>0.41</v>
      </c>
      <c r="AC557">
        <v>3.036</v>
      </c>
      <c r="AK557" t="s">
        <v>98</v>
      </c>
      <c r="AM557" t="s">
        <v>98</v>
      </c>
      <c r="AN557" t="s">
        <v>98</v>
      </c>
      <c r="AO557" t="s">
        <v>98</v>
      </c>
      <c r="AP557" t="s">
        <v>99</v>
      </c>
      <c r="AQ557" t="s">
        <v>102</v>
      </c>
      <c r="AV557" t="s">
        <v>98</v>
      </c>
      <c r="AX557" t="s">
        <v>298</v>
      </c>
      <c r="BF557" t="s">
        <v>1793</v>
      </c>
      <c r="BG557" t="s">
        <v>98</v>
      </c>
      <c r="BH557" t="s">
        <v>98</v>
      </c>
      <c r="BI557" t="s">
        <v>98</v>
      </c>
      <c r="BK557" t="s">
        <v>138</v>
      </c>
      <c r="CA557" t="s">
        <v>1654</v>
      </c>
      <c r="CB557" t="s">
        <v>298</v>
      </c>
      <c r="CL557" t="s">
        <v>98</v>
      </c>
      <c r="CM557" t="s">
        <v>98</v>
      </c>
      <c r="CO557" s="1">
        <v>39728</v>
      </c>
      <c r="CP557" s="1">
        <v>43595</v>
      </c>
    </row>
    <row r="558" spans="1:94" x14ac:dyDescent="0.25">
      <c r="A558" s="4" t="s">
        <v>1794</v>
      </c>
      <c r="B558" t="str">
        <f xml:space="preserve"> "" &amp; 706411055171</f>
        <v>706411055171</v>
      </c>
      <c r="C558" t="s">
        <v>786</v>
      </c>
      <c r="D558" t="s">
        <v>1795</v>
      </c>
      <c r="F558" t="s">
        <v>135</v>
      </c>
      <c r="G558">
        <v>1</v>
      </c>
      <c r="H558">
        <v>1</v>
      </c>
      <c r="I558" t="s">
        <v>97</v>
      </c>
      <c r="J558" s="32">
        <v>24</v>
      </c>
      <c r="K558" s="32">
        <v>72</v>
      </c>
      <c r="L558">
        <v>0</v>
      </c>
      <c r="N558">
        <v>0</v>
      </c>
      <c r="S558">
        <v>48</v>
      </c>
      <c r="U558">
        <v>0.75</v>
      </c>
      <c r="V558">
        <v>0.2</v>
      </c>
      <c r="W558">
        <v>2.98</v>
      </c>
      <c r="X558">
        <v>1</v>
      </c>
      <c r="Y558">
        <v>2.63</v>
      </c>
      <c r="Z558">
        <v>48.5</v>
      </c>
      <c r="AA558">
        <v>5.5</v>
      </c>
      <c r="AB558">
        <v>0.41</v>
      </c>
      <c r="AC558">
        <v>30.42</v>
      </c>
      <c r="AK558" t="s">
        <v>98</v>
      </c>
      <c r="AM558" t="s">
        <v>98</v>
      </c>
      <c r="AN558" t="s">
        <v>98</v>
      </c>
      <c r="AO558" t="s">
        <v>98</v>
      </c>
      <c r="AP558" t="s">
        <v>99</v>
      </c>
      <c r="AQ558" t="s">
        <v>102</v>
      </c>
      <c r="AV558" t="s">
        <v>98</v>
      </c>
      <c r="AX558" t="s">
        <v>956</v>
      </c>
      <c r="AZ558" t="s">
        <v>109</v>
      </c>
      <c r="BF558" t="s">
        <v>1796</v>
      </c>
      <c r="BG558" t="s">
        <v>98</v>
      </c>
      <c r="BH558" t="s">
        <v>98</v>
      </c>
      <c r="BI558" t="s">
        <v>98</v>
      </c>
      <c r="BJ558" t="s">
        <v>291</v>
      </c>
      <c r="BK558" t="s">
        <v>292</v>
      </c>
      <c r="CA558" t="s">
        <v>1654</v>
      </c>
      <c r="CB558" t="s">
        <v>956</v>
      </c>
      <c r="CL558" t="s">
        <v>98</v>
      </c>
      <c r="CM558" t="s">
        <v>98</v>
      </c>
      <c r="CN558" t="s">
        <v>349</v>
      </c>
      <c r="CO558" s="1">
        <v>42599</v>
      </c>
      <c r="CP558" s="1">
        <v>43595</v>
      </c>
    </row>
    <row r="559" spans="1:94" x14ac:dyDescent="0.25">
      <c r="A559" s="4" t="s">
        <v>1797</v>
      </c>
      <c r="B559" t="str">
        <f xml:space="preserve"> "" &amp; 706411020414</f>
        <v>706411020414</v>
      </c>
      <c r="C559" t="s">
        <v>786</v>
      </c>
      <c r="D559" t="s">
        <v>1798</v>
      </c>
      <c r="F559" t="s">
        <v>135</v>
      </c>
      <c r="G559">
        <v>1</v>
      </c>
      <c r="H559">
        <v>1</v>
      </c>
      <c r="I559" t="s">
        <v>97</v>
      </c>
      <c r="J559" s="32">
        <v>24</v>
      </c>
      <c r="K559" s="32">
        <v>72</v>
      </c>
      <c r="L559">
        <v>0</v>
      </c>
      <c r="N559">
        <v>0</v>
      </c>
      <c r="S559">
        <v>48</v>
      </c>
      <c r="U559">
        <v>0.75</v>
      </c>
      <c r="V559">
        <v>0.2</v>
      </c>
      <c r="W559">
        <v>2.98</v>
      </c>
      <c r="X559">
        <v>1</v>
      </c>
      <c r="Y559">
        <v>2.63</v>
      </c>
      <c r="Z559">
        <v>48.5</v>
      </c>
      <c r="AA559">
        <v>5.5</v>
      </c>
      <c r="AB559">
        <v>0.41</v>
      </c>
      <c r="AC559">
        <v>3.036</v>
      </c>
      <c r="AK559" t="s">
        <v>98</v>
      </c>
      <c r="AM559" t="s">
        <v>98</v>
      </c>
      <c r="AN559" t="s">
        <v>98</v>
      </c>
      <c r="AO559" t="s">
        <v>98</v>
      </c>
      <c r="AP559" t="s">
        <v>99</v>
      </c>
      <c r="AQ559" t="s">
        <v>102</v>
      </c>
      <c r="AV559" t="s">
        <v>98</v>
      </c>
      <c r="AX559" t="s">
        <v>306</v>
      </c>
      <c r="BF559" t="s">
        <v>1799</v>
      </c>
      <c r="BG559" t="s">
        <v>98</v>
      </c>
      <c r="BH559" t="s">
        <v>98</v>
      </c>
      <c r="BI559" t="s">
        <v>98</v>
      </c>
      <c r="BK559" t="s">
        <v>138</v>
      </c>
      <c r="CA559" t="s">
        <v>1654</v>
      </c>
      <c r="CB559" t="s">
        <v>306</v>
      </c>
      <c r="CL559" t="s">
        <v>98</v>
      </c>
      <c r="CM559" t="s">
        <v>98</v>
      </c>
      <c r="CO559" s="1">
        <v>39728</v>
      </c>
      <c r="CP559" s="1">
        <v>43595</v>
      </c>
    </row>
    <row r="560" spans="1:94" x14ac:dyDescent="0.25">
      <c r="A560" s="4" t="s">
        <v>1800</v>
      </c>
      <c r="B560" t="str">
        <f xml:space="preserve"> "" &amp; 706411003394</f>
        <v>706411003394</v>
      </c>
      <c r="C560" t="s">
        <v>786</v>
      </c>
      <c r="D560" t="s">
        <v>1801</v>
      </c>
      <c r="F560" t="s">
        <v>135</v>
      </c>
      <c r="G560">
        <v>1</v>
      </c>
      <c r="H560">
        <v>1</v>
      </c>
      <c r="I560" t="s">
        <v>97</v>
      </c>
      <c r="J560" s="32">
        <v>30</v>
      </c>
      <c r="K560" s="32">
        <v>90</v>
      </c>
      <c r="L560">
        <v>0</v>
      </c>
      <c r="N560">
        <v>0</v>
      </c>
      <c r="S560">
        <v>60</v>
      </c>
      <c r="U560">
        <v>0.75</v>
      </c>
      <c r="V560">
        <v>0.2</v>
      </c>
      <c r="W560">
        <v>3.75</v>
      </c>
      <c r="X560">
        <v>1</v>
      </c>
      <c r="Y560">
        <v>2.75</v>
      </c>
      <c r="Z560">
        <v>60.5</v>
      </c>
      <c r="AA560">
        <v>5.5</v>
      </c>
      <c r="AB560">
        <v>0.53</v>
      </c>
      <c r="AC560">
        <v>3.8079999999999998</v>
      </c>
      <c r="AK560" t="s">
        <v>98</v>
      </c>
      <c r="AM560" t="s">
        <v>98</v>
      </c>
      <c r="AN560" t="s">
        <v>98</v>
      </c>
      <c r="AO560" t="s">
        <v>98</v>
      </c>
      <c r="AP560" t="s">
        <v>99</v>
      </c>
      <c r="AQ560" t="s">
        <v>102</v>
      </c>
      <c r="AV560" t="s">
        <v>98</v>
      </c>
      <c r="AX560" t="s">
        <v>302</v>
      </c>
      <c r="BF560" t="s">
        <v>1802</v>
      </c>
      <c r="BG560" t="s">
        <v>98</v>
      </c>
      <c r="BH560" t="s">
        <v>98</v>
      </c>
      <c r="BI560" t="s">
        <v>98</v>
      </c>
      <c r="CB560" t="s">
        <v>302</v>
      </c>
      <c r="CL560" t="s">
        <v>98</v>
      </c>
      <c r="CM560" t="s">
        <v>98</v>
      </c>
      <c r="CP560" s="1">
        <v>43595</v>
      </c>
    </row>
    <row r="561" spans="1:94" x14ac:dyDescent="0.25">
      <c r="A561" s="4" t="s">
        <v>1803</v>
      </c>
      <c r="B561" t="str">
        <f xml:space="preserve"> "" &amp; 706411050640</f>
        <v>706411050640</v>
      </c>
      <c r="C561" t="s">
        <v>786</v>
      </c>
      <c r="D561" t="s">
        <v>1804</v>
      </c>
      <c r="F561" t="s">
        <v>135</v>
      </c>
      <c r="G561">
        <v>1</v>
      </c>
      <c r="H561">
        <v>1</v>
      </c>
      <c r="I561" t="s">
        <v>97</v>
      </c>
      <c r="J561" s="32">
        <v>30</v>
      </c>
      <c r="K561" s="32">
        <v>90</v>
      </c>
      <c r="L561">
        <v>0</v>
      </c>
      <c r="N561">
        <v>0</v>
      </c>
      <c r="S561">
        <v>60</v>
      </c>
      <c r="U561">
        <v>0.75</v>
      </c>
      <c r="V561">
        <v>0.2</v>
      </c>
      <c r="W561">
        <v>3.75</v>
      </c>
      <c r="X561">
        <v>1</v>
      </c>
      <c r="Y561">
        <v>2.75</v>
      </c>
      <c r="Z561">
        <v>60.5</v>
      </c>
      <c r="AA561">
        <v>5.5</v>
      </c>
      <c r="AB561">
        <v>0.53</v>
      </c>
      <c r="AC561">
        <v>1.7290000000000001</v>
      </c>
      <c r="AK561" t="s">
        <v>98</v>
      </c>
      <c r="AM561" t="s">
        <v>98</v>
      </c>
      <c r="AN561" t="s">
        <v>98</v>
      </c>
      <c r="AO561" t="s">
        <v>98</v>
      </c>
      <c r="AP561" t="s">
        <v>99</v>
      </c>
      <c r="AQ561" t="s">
        <v>102</v>
      </c>
      <c r="AV561" t="s">
        <v>98</v>
      </c>
      <c r="AX561" t="s">
        <v>311</v>
      </c>
      <c r="BF561" t="s">
        <v>1805</v>
      </c>
      <c r="BG561" t="s">
        <v>98</v>
      </c>
      <c r="BH561" t="s">
        <v>98</v>
      </c>
      <c r="BI561" t="s">
        <v>98</v>
      </c>
      <c r="CB561" t="s">
        <v>311</v>
      </c>
      <c r="CL561" t="s">
        <v>98</v>
      </c>
      <c r="CM561" t="s">
        <v>98</v>
      </c>
      <c r="CP561" s="1">
        <v>43595</v>
      </c>
    </row>
    <row r="562" spans="1:94" x14ac:dyDescent="0.25">
      <c r="A562" s="4" t="s">
        <v>1806</v>
      </c>
      <c r="B562" t="str">
        <f xml:space="preserve"> "" &amp; 706411020001</f>
        <v>706411020001</v>
      </c>
      <c r="C562" t="s">
        <v>786</v>
      </c>
      <c r="D562" t="s">
        <v>4427</v>
      </c>
      <c r="F562" t="s">
        <v>135</v>
      </c>
      <c r="G562">
        <v>1</v>
      </c>
      <c r="H562">
        <v>1</v>
      </c>
      <c r="I562" t="s">
        <v>97</v>
      </c>
      <c r="J562" s="32">
        <v>30</v>
      </c>
      <c r="K562" s="32">
        <v>90</v>
      </c>
      <c r="L562">
        <v>0</v>
      </c>
      <c r="N562">
        <v>0</v>
      </c>
      <c r="S562">
        <v>60</v>
      </c>
      <c r="U562">
        <v>0.75</v>
      </c>
      <c r="V562">
        <v>0.2</v>
      </c>
      <c r="W562">
        <v>3.75</v>
      </c>
      <c r="X562">
        <v>1</v>
      </c>
      <c r="Y562">
        <v>2.75</v>
      </c>
      <c r="Z562">
        <v>60.5</v>
      </c>
      <c r="AA562">
        <v>5.5</v>
      </c>
      <c r="AB562">
        <v>0.53</v>
      </c>
      <c r="AC562">
        <v>3.8079999999999998</v>
      </c>
      <c r="AK562" t="s">
        <v>98</v>
      </c>
      <c r="AM562" t="s">
        <v>98</v>
      </c>
      <c r="AN562" t="s">
        <v>98</v>
      </c>
      <c r="AO562" t="s">
        <v>98</v>
      </c>
      <c r="AP562" t="s">
        <v>99</v>
      </c>
      <c r="AQ562" t="s">
        <v>102</v>
      </c>
      <c r="AV562" t="s">
        <v>98</v>
      </c>
      <c r="AX562" t="s">
        <v>136</v>
      </c>
      <c r="BF562" t="s">
        <v>1807</v>
      </c>
      <c r="BG562" t="s">
        <v>98</v>
      </c>
      <c r="BH562" t="s">
        <v>98</v>
      </c>
      <c r="BI562" t="s">
        <v>98</v>
      </c>
      <c r="BK562" t="s">
        <v>138</v>
      </c>
      <c r="CA562" t="s">
        <v>1808</v>
      </c>
      <c r="CB562" t="s">
        <v>136</v>
      </c>
      <c r="CL562" t="s">
        <v>98</v>
      </c>
      <c r="CM562" t="s">
        <v>98</v>
      </c>
      <c r="CO562" s="1">
        <v>39728</v>
      </c>
      <c r="CP562" s="1">
        <v>43595</v>
      </c>
    </row>
    <row r="563" spans="1:94" x14ac:dyDescent="0.25">
      <c r="A563" s="4" t="s">
        <v>1809</v>
      </c>
      <c r="B563" t="str">
        <f xml:space="preserve"> "" &amp; 706411020544</f>
        <v>706411020544</v>
      </c>
      <c r="C563" t="s">
        <v>786</v>
      </c>
      <c r="D563" t="s">
        <v>4426</v>
      </c>
      <c r="F563" t="s">
        <v>135</v>
      </c>
      <c r="G563">
        <v>1</v>
      </c>
      <c r="H563">
        <v>1</v>
      </c>
      <c r="I563" t="s">
        <v>97</v>
      </c>
      <c r="J563" s="32">
        <v>30</v>
      </c>
      <c r="K563" s="32">
        <v>90</v>
      </c>
      <c r="L563">
        <v>0</v>
      </c>
      <c r="N563">
        <v>0</v>
      </c>
      <c r="S563">
        <v>60</v>
      </c>
      <c r="U563">
        <v>0.75</v>
      </c>
      <c r="V563">
        <v>0.2</v>
      </c>
      <c r="W563">
        <v>3.75</v>
      </c>
      <c r="X563">
        <v>1</v>
      </c>
      <c r="Y563">
        <v>2.75</v>
      </c>
      <c r="Z563">
        <v>60.5</v>
      </c>
      <c r="AA563">
        <v>5.5</v>
      </c>
      <c r="AB563">
        <v>0.53</v>
      </c>
      <c r="AC563">
        <v>3.8079999999999998</v>
      </c>
      <c r="AK563" t="s">
        <v>98</v>
      </c>
      <c r="AM563" t="s">
        <v>98</v>
      </c>
      <c r="AN563" t="s">
        <v>98</v>
      </c>
      <c r="AO563" t="s">
        <v>98</v>
      </c>
      <c r="AP563" t="s">
        <v>99</v>
      </c>
      <c r="AQ563" t="s">
        <v>102</v>
      </c>
      <c r="AV563" t="s">
        <v>98</v>
      </c>
      <c r="AX563" t="s">
        <v>317</v>
      </c>
      <c r="BF563" t="s">
        <v>1810</v>
      </c>
      <c r="BG563" t="s">
        <v>98</v>
      </c>
      <c r="BH563" t="s">
        <v>98</v>
      </c>
      <c r="BI563" t="s">
        <v>98</v>
      </c>
      <c r="BK563" t="s">
        <v>138</v>
      </c>
      <c r="CA563" t="s">
        <v>1808</v>
      </c>
      <c r="CB563" t="s">
        <v>317</v>
      </c>
      <c r="CL563" t="s">
        <v>98</v>
      </c>
      <c r="CM563" t="s">
        <v>98</v>
      </c>
      <c r="CO563" s="1">
        <v>39728</v>
      </c>
      <c r="CP563" s="1">
        <v>43595</v>
      </c>
    </row>
    <row r="564" spans="1:94" x14ac:dyDescent="0.25">
      <c r="A564" s="4" t="s">
        <v>1811</v>
      </c>
      <c r="B564" t="str">
        <f xml:space="preserve"> "" &amp; 706411035609</f>
        <v>706411035609</v>
      </c>
      <c r="C564" t="s">
        <v>786</v>
      </c>
      <c r="D564" t="s">
        <v>1812</v>
      </c>
      <c r="F564" t="s">
        <v>135</v>
      </c>
      <c r="G564">
        <v>1</v>
      </c>
      <c r="H564">
        <v>1</v>
      </c>
      <c r="I564" t="s">
        <v>97</v>
      </c>
      <c r="J564" s="32">
        <v>30</v>
      </c>
      <c r="K564" s="32">
        <v>90</v>
      </c>
      <c r="L564">
        <v>0</v>
      </c>
      <c r="N564">
        <v>0</v>
      </c>
      <c r="S564">
        <v>60</v>
      </c>
      <c r="U564">
        <v>0.75</v>
      </c>
      <c r="V564">
        <v>0.2</v>
      </c>
      <c r="W564">
        <v>3.75</v>
      </c>
      <c r="X564">
        <v>1</v>
      </c>
      <c r="Y564">
        <v>2.75</v>
      </c>
      <c r="Z564">
        <v>60.5</v>
      </c>
      <c r="AA564">
        <v>5.5</v>
      </c>
      <c r="AB564">
        <v>0.53</v>
      </c>
      <c r="AC564">
        <v>3.8079999999999998</v>
      </c>
      <c r="AK564" t="s">
        <v>98</v>
      </c>
      <c r="AM564" t="s">
        <v>98</v>
      </c>
      <c r="AN564" t="s">
        <v>98</v>
      </c>
      <c r="AO564" t="s">
        <v>98</v>
      </c>
      <c r="AP564" t="s">
        <v>99</v>
      </c>
      <c r="AQ564" t="s">
        <v>102</v>
      </c>
      <c r="AV564" t="s">
        <v>98</v>
      </c>
      <c r="AX564" t="s">
        <v>1040</v>
      </c>
      <c r="BF564" t="s">
        <v>1813</v>
      </c>
      <c r="BG564" t="s">
        <v>98</v>
      </c>
      <c r="BH564" t="s">
        <v>98</v>
      </c>
      <c r="BI564" t="s">
        <v>98</v>
      </c>
      <c r="BK564" t="s">
        <v>138</v>
      </c>
      <c r="CA564" t="s">
        <v>1808</v>
      </c>
      <c r="CL564" t="s">
        <v>98</v>
      </c>
      <c r="CM564" t="s">
        <v>98</v>
      </c>
      <c r="CO564" s="1">
        <v>39728</v>
      </c>
      <c r="CP564" s="1">
        <v>43595</v>
      </c>
    </row>
    <row r="565" spans="1:94" x14ac:dyDescent="0.25">
      <c r="A565" s="4" t="s">
        <v>1814</v>
      </c>
      <c r="B565" t="str">
        <f xml:space="preserve"> "" &amp; 706411025464</f>
        <v>706411025464</v>
      </c>
      <c r="C565" t="s">
        <v>786</v>
      </c>
      <c r="D565" t="s">
        <v>1815</v>
      </c>
      <c r="F565" t="s">
        <v>135</v>
      </c>
      <c r="G565">
        <v>1</v>
      </c>
      <c r="H565">
        <v>1</v>
      </c>
      <c r="I565" t="s">
        <v>97</v>
      </c>
      <c r="J565" s="32">
        <v>30</v>
      </c>
      <c r="K565" s="32">
        <v>90</v>
      </c>
      <c r="L565">
        <v>0</v>
      </c>
      <c r="N565">
        <v>0</v>
      </c>
      <c r="S565">
        <v>60</v>
      </c>
      <c r="U565">
        <v>0.75</v>
      </c>
      <c r="V565">
        <v>0.2</v>
      </c>
      <c r="W565">
        <v>3.75</v>
      </c>
      <c r="X565">
        <v>1</v>
      </c>
      <c r="Y565">
        <v>2.75</v>
      </c>
      <c r="Z565">
        <v>60.5</v>
      </c>
      <c r="AA565">
        <v>5.5</v>
      </c>
      <c r="AB565">
        <v>0.53</v>
      </c>
      <c r="AC565">
        <v>3.8079999999999998</v>
      </c>
      <c r="AK565" t="s">
        <v>98</v>
      </c>
      <c r="AM565" t="s">
        <v>98</v>
      </c>
      <c r="AN565" t="s">
        <v>98</v>
      </c>
      <c r="AO565" t="s">
        <v>98</v>
      </c>
      <c r="AP565" t="s">
        <v>99</v>
      </c>
      <c r="AQ565" t="s">
        <v>102</v>
      </c>
      <c r="AV565" t="s">
        <v>98</v>
      </c>
      <c r="AX565" t="s">
        <v>146</v>
      </c>
      <c r="BF565" t="s">
        <v>1816</v>
      </c>
      <c r="BG565" t="s">
        <v>98</v>
      </c>
      <c r="BH565" t="s">
        <v>98</v>
      </c>
      <c r="BI565" t="s">
        <v>98</v>
      </c>
      <c r="BK565" t="s">
        <v>138</v>
      </c>
      <c r="CA565" t="s">
        <v>1808</v>
      </c>
      <c r="CB565" t="s">
        <v>146</v>
      </c>
      <c r="CL565" t="s">
        <v>98</v>
      </c>
      <c r="CM565" t="s">
        <v>98</v>
      </c>
      <c r="CO565" s="1">
        <v>39728</v>
      </c>
      <c r="CP565" s="1">
        <v>43595</v>
      </c>
    </row>
    <row r="566" spans="1:94" x14ac:dyDescent="0.25">
      <c r="A566" s="4" t="s">
        <v>1817</v>
      </c>
      <c r="B566" t="str">
        <f xml:space="preserve"> "" &amp; 706411003424</f>
        <v>706411003424</v>
      </c>
      <c r="C566" t="s">
        <v>786</v>
      </c>
      <c r="D566" t="s">
        <v>1818</v>
      </c>
      <c r="F566" t="s">
        <v>135</v>
      </c>
      <c r="G566">
        <v>1</v>
      </c>
      <c r="H566">
        <v>1</v>
      </c>
      <c r="I566" t="s">
        <v>97</v>
      </c>
      <c r="J566" s="32">
        <v>30</v>
      </c>
      <c r="K566" s="32">
        <v>90</v>
      </c>
      <c r="L566">
        <v>0</v>
      </c>
      <c r="N566">
        <v>0</v>
      </c>
      <c r="S566">
        <v>60</v>
      </c>
      <c r="U566">
        <v>0.75</v>
      </c>
      <c r="V566">
        <v>0.2</v>
      </c>
      <c r="W566">
        <v>3.75</v>
      </c>
      <c r="X566">
        <v>1</v>
      </c>
      <c r="Y566">
        <v>2.75</v>
      </c>
      <c r="Z566">
        <v>60.5</v>
      </c>
      <c r="AA566">
        <v>5.5</v>
      </c>
      <c r="AB566">
        <v>0.53</v>
      </c>
      <c r="AC566">
        <v>3.8079999999999998</v>
      </c>
      <c r="AK566" t="s">
        <v>98</v>
      </c>
      <c r="AM566" t="s">
        <v>98</v>
      </c>
      <c r="AN566" t="s">
        <v>98</v>
      </c>
      <c r="AO566" t="s">
        <v>98</v>
      </c>
      <c r="AP566" t="s">
        <v>99</v>
      </c>
      <c r="AQ566" t="s">
        <v>102</v>
      </c>
      <c r="AV566" t="s">
        <v>98</v>
      </c>
      <c r="AX566" t="s">
        <v>150</v>
      </c>
      <c r="BF566" t="s">
        <v>1819</v>
      </c>
      <c r="BG566" t="s">
        <v>98</v>
      </c>
      <c r="BH566" t="s">
        <v>98</v>
      </c>
      <c r="BI566" t="s">
        <v>98</v>
      </c>
      <c r="BK566" t="s">
        <v>138</v>
      </c>
      <c r="CA566" t="s">
        <v>1808</v>
      </c>
      <c r="CB566" t="s">
        <v>150</v>
      </c>
      <c r="CL566" t="s">
        <v>98</v>
      </c>
      <c r="CM566" t="s">
        <v>98</v>
      </c>
      <c r="CO566" s="1">
        <v>39728</v>
      </c>
      <c r="CP566" s="1">
        <v>43595</v>
      </c>
    </row>
    <row r="567" spans="1:94" x14ac:dyDescent="0.25">
      <c r="A567" s="4" t="s">
        <v>1820</v>
      </c>
      <c r="B567" t="str">
        <f xml:space="preserve"> "" &amp; 706411056857</f>
        <v>706411056857</v>
      </c>
      <c r="C567" t="s">
        <v>786</v>
      </c>
      <c r="D567" t="s">
        <v>1821</v>
      </c>
      <c r="F567" t="s">
        <v>135</v>
      </c>
      <c r="G567">
        <v>1</v>
      </c>
      <c r="H567">
        <v>1</v>
      </c>
      <c r="I567" t="s">
        <v>97</v>
      </c>
      <c r="J567" s="32">
        <v>30</v>
      </c>
      <c r="K567" s="32">
        <v>90</v>
      </c>
      <c r="L567">
        <v>0</v>
      </c>
      <c r="N567">
        <v>0</v>
      </c>
      <c r="S567">
        <v>60</v>
      </c>
      <c r="U567">
        <v>0.75</v>
      </c>
      <c r="V567">
        <v>0.2</v>
      </c>
      <c r="W567">
        <v>3.75</v>
      </c>
      <c r="X567">
        <v>1</v>
      </c>
      <c r="Y567">
        <v>2.75</v>
      </c>
      <c r="Z567">
        <v>60.5</v>
      </c>
      <c r="AA567">
        <v>5.5</v>
      </c>
      <c r="AB567">
        <v>0.53</v>
      </c>
      <c r="AC567">
        <v>3.8079999999999998</v>
      </c>
      <c r="AK567" t="s">
        <v>98</v>
      </c>
      <c r="AM567" t="s">
        <v>98</v>
      </c>
      <c r="AN567" t="s">
        <v>98</v>
      </c>
      <c r="AO567" t="s">
        <v>98</v>
      </c>
      <c r="AP567" t="s">
        <v>99</v>
      </c>
      <c r="AQ567" t="s">
        <v>102</v>
      </c>
      <c r="AV567" t="s">
        <v>98</v>
      </c>
      <c r="AX567" t="s">
        <v>154</v>
      </c>
      <c r="BF567" t="s">
        <v>1822</v>
      </c>
      <c r="BG567" t="s">
        <v>98</v>
      </c>
      <c r="BH567" t="s">
        <v>98</v>
      </c>
      <c r="BI567" t="s">
        <v>98</v>
      </c>
      <c r="CB567" t="s">
        <v>154</v>
      </c>
      <c r="CL567" t="s">
        <v>98</v>
      </c>
      <c r="CM567" t="s">
        <v>98</v>
      </c>
      <c r="CN567" t="s">
        <v>349</v>
      </c>
      <c r="CO567" s="1">
        <v>43147</v>
      </c>
      <c r="CP567" s="1">
        <v>43595</v>
      </c>
    </row>
    <row r="568" spans="1:94" x14ac:dyDescent="0.25">
      <c r="A568" s="4" t="s">
        <v>1823</v>
      </c>
      <c r="B568" t="str">
        <f xml:space="preserve"> "" &amp; 706411027475</f>
        <v>706411027475</v>
      </c>
      <c r="C568" t="s">
        <v>786</v>
      </c>
      <c r="D568" t="s">
        <v>1824</v>
      </c>
      <c r="F568" t="s">
        <v>135</v>
      </c>
      <c r="G568">
        <v>1</v>
      </c>
      <c r="H568">
        <v>1</v>
      </c>
      <c r="I568" t="s">
        <v>97</v>
      </c>
      <c r="J568" s="32">
        <v>30</v>
      </c>
      <c r="K568" s="32">
        <v>90</v>
      </c>
      <c r="L568">
        <v>0</v>
      </c>
      <c r="N568">
        <v>0</v>
      </c>
      <c r="S568">
        <v>60</v>
      </c>
      <c r="U568">
        <v>0.75</v>
      </c>
      <c r="V568">
        <v>0.2</v>
      </c>
      <c r="W568">
        <v>3.75</v>
      </c>
      <c r="X568">
        <v>1</v>
      </c>
      <c r="Y568">
        <v>2.75</v>
      </c>
      <c r="Z568">
        <v>60.5</v>
      </c>
      <c r="AA568">
        <v>5.5</v>
      </c>
      <c r="AB568">
        <v>0.53</v>
      </c>
      <c r="AC568">
        <v>3.8079999999999998</v>
      </c>
      <c r="AK568" t="s">
        <v>98</v>
      </c>
      <c r="AM568" t="s">
        <v>98</v>
      </c>
      <c r="AN568" t="s">
        <v>98</v>
      </c>
      <c r="AO568" t="s">
        <v>98</v>
      </c>
      <c r="AP568" t="s">
        <v>99</v>
      </c>
      <c r="AQ568" t="s">
        <v>102</v>
      </c>
      <c r="AV568" t="s">
        <v>98</v>
      </c>
      <c r="AX568" t="s">
        <v>159</v>
      </c>
      <c r="BF568" t="s">
        <v>1825</v>
      </c>
      <c r="BG568" t="s">
        <v>98</v>
      </c>
      <c r="BH568" t="s">
        <v>98</v>
      </c>
      <c r="BI568" t="s">
        <v>98</v>
      </c>
      <c r="BK568" t="s">
        <v>138</v>
      </c>
      <c r="CA568" t="s">
        <v>1808</v>
      </c>
      <c r="CB568" t="s">
        <v>159</v>
      </c>
      <c r="CL568" t="s">
        <v>98</v>
      </c>
      <c r="CM568" t="s">
        <v>98</v>
      </c>
      <c r="CO568" s="1">
        <v>39728</v>
      </c>
      <c r="CP568" s="1">
        <v>43595</v>
      </c>
    </row>
    <row r="569" spans="1:94" x14ac:dyDescent="0.25">
      <c r="A569" s="4" t="s">
        <v>1826</v>
      </c>
      <c r="B569" t="str">
        <f xml:space="preserve"> "" &amp; 706411025617</f>
        <v>706411025617</v>
      </c>
      <c r="C569" t="s">
        <v>786</v>
      </c>
      <c r="D569" t="s">
        <v>1827</v>
      </c>
      <c r="F569" t="s">
        <v>135</v>
      </c>
      <c r="G569">
        <v>1</v>
      </c>
      <c r="H569">
        <v>1</v>
      </c>
      <c r="I569" t="s">
        <v>97</v>
      </c>
      <c r="J569" s="32">
        <v>30</v>
      </c>
      <c r="K569" s="32">
        <v>90</v>
      </c>
      <c r="L569">
        <v>0</v>
      </c>
      <c r="N569">
        <v>0</v>
      </c>
      <c r="S569">
        <v>60</v>
      </c>
      <c r="U569">
        <v>0.75</v>
      </c>
      <c r="V569">
        <v>0.2</v>
      </c>
      <c r="W569">
        <v>3.75</v>
      </c>
      <c r="X569">
        <v>1</v>
      </c>
      <c r="Y569">
        <v>2.75</v>
      </c>
      <c r="Z569">
        <v>60.5</v>
      </c>
      <c r="AA569">
        <v>5.5</v>
      </c>
      <c r="AB569">
        <v>0.53</v>
      </c>
      <c r="AC569">
        <v>3.8079999999999998</v>
      </c>
      <c r="AK569" t="s">
        <v>98</v>
      </c>
      <c r="AM569" t="s">
        <v>98</v>
      </c>
      <c r="AN569" t="s">
        <v>98</v>
      </c>
      <c r="AO569" t="s">
        <v>98</v>
      </c>
      <c r="AP569" t="s">
        <v>99</v>
      </c>
      <c r="AQ569" t="s">
        <v>102</v>
      </c>
      <c r="AV569" t="s">
        <v>98</v>
      </c>
      <c r="AX569" t="s">
        <v>163</v>
      </c>
      <c r="BF569" t="s">
        <v>1828</v>
      </c>
      <c r="BG569" t="s">
        <v>98</v>
      </c>
      <c r="BH569" t="s">
        <v>98</v>
      </c>
      <c r="BI569" t="s">
        <v>98</v>
      </c>
      <c r="BK569" t="s">
        <v>138</v>
      </c>
      <c r="CA569" t="s">
        <v>1808</v>
      </c>
      <c r="CB569" t="s">
        <v>163</v>
      </c>
      <c r="CL569" t="s">
        <v>98</v>
      </c>
      <c r="CM569" t="s">
        <v>98</v>
      </c>
      <c r="CO569" s="1">
        <v>39728</v>
      </c>
      <c r="CP569" s="1">
        <v>43595</v>
      </c>
    </row>
    <row r="570" spans="1:94" x14ac:dyDescent="0.25">
      <c r="A570" s="4" t="s">
        <v>1829</v>
      </c>
      <c r="B570" t="str">
        <f xml:space="preserve"> "" &amp; 706411044601</f>
        <v>706411044601</v>
      </c>
      <c r="C570" t="s">
        <v>786</v>
      </c>
      <c r="D570" t="s">
        <v>1830</v>
      </c>
      <c r="F570" t="s">
        <v>135</v>
      </c>
      <c r="G570">
        <v>1</v>
      </c>
      <c r="H570">
        <v>1</v>
      </c>
      <c r="I570" t="s">
        <v>97</v>
      </c>
      <c r="J570" s="32">
        <v>30</v>
      </c>
      <c r="K570" s="32">
        <v>90</v>
      </c>
      <c r="L570">
        <v>0</v>
      </c>
      <c r="N570">
        <v>0</v>
      </c>
      <c r="S570">
        <v>60</v>
      </c>
      <c r="U570">
        <v>0.75</v>
      </c>
      <c r="V570">
        <v>0.2</v>
      </c>
      <c r="W570">
        <v>3.75</v>
      </c>
      <c r="X570">
        <v>1</v>
      </c>
      <c r="Y570">
        <v>2.75</v>
      </c>
      <c r="Z570">
        <v>60.5</v>
      </c>
      <c r="AA570">
        <v>5.5</v>
      </c>
      <c r="AB570">
        <v>0.53</v>
      </c>
      <c r="AC570">
        <v>3.8079999999999998</v>
      </c>
      <c r="AK570" t="s">
        <v>98</v>
      </c>
      <c r="AM570" t="s">
        <v>98</v>
      </c>
      <c r="AN570" t="s">
        <v>98</v>
      </c>
      <c r="AO570" t="s">
        <v>98</v>
      </c>
      <c r="AP570" t="s">
        <v>99</v>
      </c>
      <c r="AQ570" t="s">
        <v>102</v>
      </c>
      <c r="AV570" t="s">
        <v>98</v>
      </c>
      <c r="AX570" t="s">
        <v>167</v>
      </c>
      <c r="BF570" t="s">
        <v>1831</v>
      </c>
      <c r="BG570" t="s">
        <v>98</v>
      </c>
      <c r="BH570" t="s">
        <v>98</v>
      </c>
      <c r="BI570" t="s">
        <v>98</v>
      </c>
      <c r="BJ570" t="s">
        <v>291</v>
      </c>
      <c r="BK570" t="s">
        <v>292</v>
      </c>
      <c r="CA570" t="s">
        <v>1832</v>
      </c>
      <c r="CB570" t="s">
        <v>167</v>
      </c>
      <c r="CL570" t="s">
        <v>98</v>
      </c>
      <c r="CM570" t="s">
        <v>98</v>
      </c>
      <c r="CN570" t="s">
        <v>349</v>
      </c>
      <c r="CP570" s="1">
        <v>43595</v>
      </c>
    </row>
    <row r="571" spans="1:94" x14ac:dyDescent="0.25">
      <c r="A571" s="4" t="s">
        <v>1833</v>
      </c>
      <c r="B571" t="str">
        <f xml:space="preserve"> "" &amp; 706411043314</f>
        <v>706411043314</v>
      </c>
      <c r="C571" t="s">
        <v>786</v>
      </c>
      <c r="D571" t="s">
        <v>1834</v>
      </c>
      <c r="F571" t="s">
        <v>135</v>
      </c>
      <c r="G571">
        <v>1</v>
      </c>
      <c r="H571">
        <v>1</v>
      </c>
      <c r="I571" t="s">
        <v>97</v>
      </c>
      <c r="J571" s="32">
        <v>30</v>
      </c>
      <c r="K571" s="32">
        <v>90</v>
      </c>
      <c r="L571">
        <v>0</v>
      </c>
      <c r="N571">
        <v>0</v>
      </c>
      <c r="S571">
        <v>60</v>
      </c>
      <c r="U571">
        <v>0.75</v>
      </c>
      <c r="V571">
        <v>0.2</v>
      </c>
      <c r="W571">
        <v>3.75</v>
      </c>
      <c r="X571">
        <v>1</v>
      </c>
      <c r="Y571">
        <v>2.75</v>
      </c>
      <c r="Z571">
        <v>60.5</v>
      </c>
      <c r="AA571">
        <v>5.5</v>
      </c>
      <c r="AB571">
        <v>0.53</v>
      </c>
      <c r="AC571">
        <v>3.8079999999999998</v>
      </c>
      <c r="AK571" t="s">
        <v>98</v>
      </c>
      <c r="AM571" t="s">
        <v>98</v>
      </c>
      <c r="AN571" t="s">
        <v>98</v>
      </c>
      <c r="AO571" t="s">
        <v>98</v>
      </c>
      <c r="AP571" t="s">
        <v>99</v>
      </c>
      <c r="AQ571" t="s">
        <v>102</v>
      </c>
      <c r="AV571" t="s">
        <v>98</v>
      </c>
      <c r="AX571" t="s">
        <v>171</v>
      </c>
      <c r="BF571" t="s">
        <v>1835</v>
      </c>
      <c r="BG571" t="s">
        <v>98</v>
      </c>
      <c r="BH571" t="s">
        <v>98</v>
      </c>
      <c r="BI571" t="s">
        <v>98</v>
      </c>
      <c r="BK571" t="s">
        <v>138</v>
      </c>
      <c r="CA571" t="s">
        <v>1832</v>
      </c>
      <c r="CB571" t="s">
        <v>171</v>
      </c>
      <c r="CL571" t="s">
        <v>98</v>
      </c>
      <c r="CM571" t="s">
        <v>98</v>
      </c>
      <c r="CN571" t="s">
        <v>349</v>
      </c>
      <c r="CP571" s="1">
        <v>43595</v>
      </c>
    </row>
    <row r="572" spans="1:94" x14ac:dyDescent="0.25">
      <c r="A572" s="4" t="s">
        <v>1836</v>
      </c>
      <c r="B572" t="str">
        <f xml:space="preserve"> "" &amp; 706411035692</f>
        <v>706411035692</v>
      </c>
      <c r="C572" t="s">
        <v>786</v>
      </c>
      <c r="D572" t="s">
        <v>1837</v>
      </c>
      <c r="F572" t="s">
        <v>135</v>
      </c>
      <c r="G572">
        <v>1</v>
      </c>
      <c r="H572">
        <v>1</v>
      </c>
      <c r="I572" t="s">
        <v>97</v>
      </c>
      <c r="J572" s="32">
        <v>30</v>
      </c>
      <c r="K572" s="32">
        <v>90</v>
      </c>
      <c r="L572">
        <v>0</v>
      </c>
      <c r="N572">
        <v>0</v>
      </c>
      <c r="S572">
        <v>60</v>
      </c>
      <c r="U572">
        <v>0.75</v>
      </c>
      <c r="V572">
        <v>0.2</v>
      </c>
      <c r="W572">
        <v>3.75</v>
      </c>
      <c r="X572">
        <v>1</v>
      </c>
      <c r="Y572">
        <v>2.75</v>
      </c>
      <c r="Z572">
        <v>60.5</v>
      </c>
      <c r="AA572">
        <v>5.5</v>
      </c>
      <c r="AB572">
        <v>0.53</v>
      </c>
      <c r="AC572">
        <v>3.8079999999999998</v>
      </c>
      <c r="AK572" t="s">
        <v>98</v>
      </c>
      <c r="AM572" t="s">
        <v>98</v>
      </c>
      <c r="AN572" t="s">
        <v>98</v>
      </c>
      <c r="AO572" t="s">
        <v>98</v>
      </c>
      <c r="AP572" t="s">
        <v>99</v>
      </c>
      <c r="AQ572" t="s">
        <v>102</v>
      </c>
      <c r="AV572" t="s">
        <v>98</v>
      </c>
      <c r="AX572" t="s">
        <v>175</v>
      </c>
      <c r="BF572" t="s">
        <v>1838</v>
      </c>
      <c r="BG572" t="s">
        <v>98</v>
      </c>
      <c r="BH572" t="s">
        <v>98</v>
      </c>
      <c r="BI572" t="s">
        <v>98</v>
      </c>
      <c r="BK572" t="s">
        <v>138</v>
      </c>
      <c r="CA572" t="s">
        <v>1808</v>
      </c>
      <c r="CB572" t="s">
        <v>175</v>
      </c>
      <c r="CL572" t="s">
        <v>98</v>
      </c>
      <c r="CM572" t="s">
        <v>98</v>
      </c>
      <c r="CO572" s="1">
        <v>39728</v>
      </c>
      <c r="CP572" s="1">
        <v>43595</v>
      </c>
    </row>
    <row r="573" spans="1:94" x14ac:dyDescent="0.25">
      <c r="A573" s="4" t="s">
        <v>1839</v>
      </c>
      <c r="B573" t="str">
        <f xml:space="preserve"> "" &amp; 706411061141</f>
        <v>706411061141</v>
      </c>
      <c r="C573" t="s">
        <v>786</v>
      </c>
      <c r="D573" t="s">
        <v>1840</v>
      </c>
      <c r="F573" t="s">
        <v>135</v>
      </c>
      <c r="G573">
        <v>1</v>
      </c>
      <c r="H573">
        <v>1</v>
      </c>
      <c r="I573" t="s">
        <v>97</v>
      </c>
      <c r="J573" s="32">
        <v>30</v>
      </c>
      <c r="K573" s="32">
        <v>90</v>
      </c>
      <c r="L573">
        <v>0</v>
      </c>
      <c r="N573">
        <v>0</v>
      </c>
      <c r="S573">
        <v>60</v>
      </c>
      <c r="U573">
        <v>0.75</v>
      </c>
      <c r="V573">
        <v>0.2</v>
      </c>
      <c r="W573">
        <v>3.75</v>
      </c>
      <c r="X573">
        <v>1</v>
      </c>
      <c r="Y573">
        <v>2.75</v>
      </c>
      <c r="Z573">
        <v>60.5</v>
      </c>
      <c r="AA573">
        <v>5.5</v>
      </c>
      <c r="AB573">
        <v>0.53</v>
      </c>
      <c r="AC573">
        <v>3.8079999999999998</v>
      </c>
      <c r="AK573" t="s">
        <v>98</v>
      </c>
      <c r="AM573" t="s">
        <v>98</v>
      </c>
      <c r="AN573" t="s">
        <v>98</v>
      </c>
      <c r="AO573" t="s">
        <v>98</v>
      </c>
      <c r="AP573" t="s">
        <v>99</v>
      </c>
      <c r="AQ573" t="s">
        <v>102</v>
      </c>
      <c r="AV573" t="s">
        <v>98</v>
      </c>
      <c r="AX573" t="s">
        <v>179</v>
      </c>
      <c r="BF573" t="s">
        <v>1841</v>
      </c>
      <c r="BG573" t="s">
        <v>98</v>
      </c>
      <c r="BH573" t="s">
        <v>98</v>
      </c>
      <c r="BI573" t="s">
        <v>98</v>
      </c>
      <c r="BK573" t="s">
        <v>138</v>
      </c>
      <c r="CA573" t="s">
        <v>1832</v>
      </c>
      <c r="CB573" t="s">
        <v>179</v>
      </c>
      <c r="CL573" t="s">
        <v>98</v>
      </c>
      <c r="CM573" t="s">
        <v>98</v>
      </c>
      <c r="CN573" t="s">
        <v>349</v>
      </c>
      <c r="CO573" s="1">
        <v>43536</v>
      </c>
      <c r="CP573" s="1">
        <v>43595</v>
      </c>
    </row>
    <row r="574" spans="1:94" x14ac:dyDescent="0.25">
      <c r="A574" s="4" t="s">
        <v>1842</v>
      </c>
      <c r="B574" t="str">
        <f xml:space="preserve"> "" &amp; 706411035630</f>
        <v>706411035630</v>
      </c>
      <c r="C574" t="s">
        <v>786</v>
      </c>
      <c r="D574" t="s">
        <v>1843</v>
      </c>
      <c r="F574" t="s">
        <v>135</v>
      </c>
      <c r="G574">
        <v>1</v>
      </c>
      <c r="H574">
        <v>1</v>
      </c>
      <c r="I574" t="s">
        <v>97</v>
      </c>
      <c r="J574" s="32">
        <v>30</v>
      </c>
      <c r="K574" s="32">
        <v>90</v>
      </c>
      <c r="L574">
        <v>0</v>
      </c>
      <c r="N574">
        <v>0</v>
      </c>
      <c r="S574">
        <v>60</v>
      </c>
      <c r="U574">
        <v>0.75</v>
      </c>
      <c r="V574">
        <v>0.2</v>
      </c>
      <c r="W574">
        <v>3.75</v>
      </c>
      <c r="X574">
        <v>1</v>
      </c>
      <c r="Y574">
        <v>2.75</v>
      </c>
      <c r="Z574">
        <v>60.5</v>
      </c>
      <c r="AA574">
        <v>5.5</v>
      </c>
      <c r="AB574">
        <v>0.53</v>
      </c>
      <c r="AC574">
        <v>3.8079999999999998</v>
      </c>
      <c r="AK574" t="s">
        <v>98</v>
      </c>
      <c r="AM574" t="s">
        <v>98</v>
      </c>
      <c r="AN574" t="s">
        <v>98</v>
      </c>
      <c r="AO574" t="s">
        <v>98</v>
      </c>
      <c r="AP574" t="s">
        <v>99</v>
      </c>
      <c r="AQ574" t="s">
        <v>102</v>
      </c>
      <c r="AV574" t="s">
        <v>98</v>
      </c>
      <c r="AX574" t="s">
        <v>183</v>
      </c>
      <c r="BF574" t="s">
        <v>1844</v>
      </c>
      <c r="BG574" t="s">
        <v>98</v>
      </c>
      <c r="BH574" t="s">
        <v>98</v>
      </c>
      <c r="BI574" t="s">
        <v>98</v>
      </c>
      <c r="BK574" t="s">
        <v>138</v>
      </c>
      <c r="CA574" t="s">
        <v>1808</v>
      </c>
      <c r="CB574" t="s">
        <v>183</v>
      </c>
      <c r="CL574" t="s">
        <v>98</v>
      </c>
      <c r="CM574" t="s">
        <v>98</v>
      </c>
      <c r="CO574" s="1">
        <v>39728</v>
      </c>
      <c r="CP574" s="1">
        <v>43595</v>
      </c>
    </row>
    <row r="575" spans="1:94" x14ac:dyDescent="0.25">
      <c r="A575" s="4" t="s">
        <v>1845</v>
      </c>
      <c r="B575" t="str">
        <f xml:space="preserve"> "" &amp; 706411031298</f>
        <v>706411031298</v>
      </c>
      <c r="C575" t="s">
        <v>786</v>
      </c>
      <c r="D575" t="s">
        <v>4428</v>
      </c>
      <c r="F575" t="s">
        <v>135</v>
      </c>
      <c r="G575">
        <v>1</v>
      </c>
      <c r="H575">
        <v>1</v>
      </c>
      <c r="I575" t="s">
        <v>97</v>
      </c>
      <c r="J575" s="32">
        <v>30</v>
      </c>
      <c r="K575" s="32">
        <v>90</v>
      </c>
      <c r="L575">
        <v>0</v>
      </c>
      <c r="N575">
        <v>0</v>
      </c>
      <c r="S575">
        <v>60</v>
      </c>
      <c r="U575">
        <v>0.75</v>
      </c>
      <c r="V575">
        <v>0.2</v>
      </c>
      <c r="W575">
        <v>3.75</v>
      </c>
      <c r="X575">
        <v>1</v>
      </c>
      <c r="Y575">
        <v>2.75</v>
      </c>
      <c r="Z575">
        <v>60.5</v>
      </c>
      <c r="AA575">
        <v>5.5</v>
      </c>
      <c r="AB575">
        <v>0.53</v>
      </c>
      <c r="AC575">
        <v>3.8079999999999998</v>
      </c>
      <c r="AK575" t="s">
        <v>98</v>
      </c>
      <c r="AM575" t="s">
        <v>98</v>
      </c>
      <c r="AN575" t="s">
        <v>98</v>
      </c>
      <c r="AO575" t="s">
        <v>98</v>
      </c>
      <c r="AP575" t="s">
        <v>99</v>
      </c>
      <c r="AQ575" t="s">
        <v>102</v>
      </c>
      <c r="AV575" t="s">
        <v>98</v>
      </c>
      <c r="AX575" t="s">
        <v>186</v>
      </c>
      <c r="BF575" t="s">
        <v>1846</v>
      </c>
      <c r="BG575" t="s">
        <v>98</v>
      </c>
      <c r="BH575" t="s">
        <v>98</v>
      </c>
      <c r="BI575" t="s">
        <v>98</v>
      </c>
      <c r="BK575" t="s">
        <v>138</v>
      </c>
      <c r="CA575" t="s">
        <v>1808</v>
      </c>
      <c r="CB575" t="s">
        <v>186</v>
      </c>
      <c r="CL575" t="s">
        <v>98</v>
      </c>
      <c r="CM575" t="s">
        <v>98</v>
      </c>
      <c r="CO575" s="1">
        <v>39728</v>
      </c>
      <c r="CP575" s="1">
        <v>43595</v>
      </c>
    </row>
    <row r="576" spans="1:94" x14ac:dyDescent="0.25">
      <c r="A576" s="4" t="s">
        <v>1847</v>
      </c>
      <c r="B576" t="str">
        <f xml:space="preserve"> "" &amp; 706411039133</f>
        <v>706411039133</v>
      </c>
      <c r="C576" t="s">
        <v>786</v>
      </c>
      <c r="D576" t="s">
        <v>1848</v>
      </c>
      <c r="F576" t="s">
        <v>135</v>
      </c>
      <c r="G576">
        <v>1</v>
      </c>
      <c r="H576">
        <v>1</v>
      </c>
      <c r="I576" t="s">
        <v>97</v>
      </c>
      <c r="J576" s="32">
        <v>30</v>
      </c>
      <c r="K576" s="32">
        <v>90</v>
      </c>
      <c r="L576">
        <v>0</v>
      </c>
      <c r="N576">
        <v>0</v>
      </c>
      <c r="S576">
        <v>60</v>
      </c>
      <c r="U576">
        <v>0.75</v>
      </c>
      <c r="V576">
        <v>0.2</v>
      </c>
      <c r="W576">
        <v>3.75</v>
      </c>
      <c r="X576">
        <v>1</v>
      </c>
      <c r="Y576">
        <v>2.75</v>
      </c>
      <c r="Z576">
        <v>60.5</v>
      </c>
      <c r="AA576">
        <v>5.5</v>
      </c>
      <c r="AB576">
        <v>0.53</v>
      </c>
      <c r="AC576">
        <v>3.8079999999999998</v>
      </c>
      <c r="AK576" t="s">
        <v>98</v>
      </c>
      <c r="AM576" t="s">
        <v>98</v>
      </c>
      <c r="AN576" t="s">
        <v>98</v>
      </c>
      <c r="AO576" t="s">
        <v>98</v>
      </c>
      <c r="AP576" t="s">
        <v>99</v>
      </c>
      <c r="AQ576" t="s">
        <v>102</v>
      </c>
      <c r="AV576" t="s">
        <v>98</v>
      </c>
      <c r="AX576" t="s">
        <v>190</v>
      </c>
      <c r="BF576" t="s">
        <v>1849</v>
      </c>
      <c r="BG576" t="s">
        <v>98</v>
      </c>
      <c r="BH576" t="s">
        <v>98</v>
      </c>
      <c r="BI576" t="s">
        <v>98</v>
      </c>
      <c r="BK576" t="s">
        <v>138</v>
      </c>
      <c r="CA576" t="s">
        <v>1808</v>
      </c>
      <c r="CB576" t="s">
        <v>190</v>
      </c>
      <c r="CL576" t="s">
        <v>98</v>
      </c>
      <c r="CM576" t="s">
        <v>98</v>
      </c>
      <c r="CO576" s="1">
        <v>40841</v>
      </c>
      <c r="CP576" s="1">
        <v>43595</v>
      </c>
    </row>
    <row r="577" spans="1:94" x14ac:dyDescent="0.25">
      <c r="A577" s="4" t="s">
        <v>1850</v>
      </c>
      <c r="B577" t="str">
        <f xml:space="preserve"> "" &amp; 706411026843</f>
        <v>706411026843</v>
      </c>
      <c r="C577" t="s">
        <v>786</v>
      </c>
      <c r="D577" t="s">
        <v>4429</v>
      </c>
      <c r="F577" t="s">
        <v>135</v>
      </c>
      <c r="G577">
        <v>1</v>
      </c>
      <c r="H577">
        <v>1</v>
      </c>
      <c r="I577" t="s">
        <v>97</v>
      </c>
      <c r="J577" s="32">
        <v>30</v>
      </c>
      <c r="K577" s="32">
        <v>90</v>
      </c>
      <c r="L577">
        <v>0</v>
      </c>
      <c r="N577">
        <v>0</v>
      </c>
      <c r="S577">
        <v>60</v>
      </c>
      <c r="U577">
        <v>0.75</v>
      </c>
      <c r="V577">
        <v>0.2</v>
      </c>
      <c r="W577">
        <v>3.75</v>
      </c>
      <c r="X577">
        <v>1</v>
      </c>
      <c r="Y577">
        <v>2.75</v>
      </c>
      <c r="Z577">
        <v>60.5</v>
      </c>
      <c r="AA577">
        <v>5.5</v>
      </c>
      <c r="AB577">
        <v>0.53</v>
      </c>
      <c r="AC577">
        <v>3.8079999999999998</v>
      </c>
      <c r="AK577" t="s">
        <v>98</v>
      </c>
      <c r="AM577" t="s">
        <v>98</v>
      </c>
      <c r="AN577" t="s">
        <v>98</v>
      </c>
      <c r="AO577" t="s">
        <v>98</v>
      </c>
      <c r="AP577" t="s">
        <v>99</v>
      </c>
      <c r="AQ577" t="s">
        <v>102</v>
      </c>
      <c r="AV577" t="s">
        <v>98</v>
      </c>
      <c r="AX577" t="s">
        <v>193</v>
      </c>
      <c r="BF577" t="s">
        <v>1851</v>
      </c>
      <c r="BG577" t="s">
        <v>98</v>
      </c>
      <c r="BH577" t="s">
        <v>98</v>
      </c>
      <c r="BI577" t="s">
        <v>98</v>
      </c>
      <c r="BK577" t="s">
        <v>138</v>
      </c>
      <c r="CA577" t="s">
        <v>1808</v>
      </c>
      <c r="CB577" t="s">
        <v>193</v>
      </c>
      <c r="CL577" t="s">
        <v>98</v>
      </c>
      <c r="CM577" t="s">
        <v>98</v>
      </c>
      <c r="CO577" s="1">
        <v>39728</v>
      </c>
      <c r="CP577" s="1">
        <v>43595</v>
      </c>
    </row>
    <row r="578" spans="1:94" x14ac:dyDescent="0.25">
      <c r="A578" s="4" t="s">
        <v>1852</v>
      </c>
      <c r="B578" t="str">
        <f xml:space="preserve"> "" &amp; 706411050411</f>
        <v>706411050411</v>
      </c>
      <c r="C578" t="s">
        <v>786</v>
      </c>
      <c r="D578" t="s">
        <v>1853</v>
      </c>
      <c r="F578" t="s">
        <v>135</v>
      </c>
      <c r="G578">
        <v>1</v>
      </c>
      <c r="H578">
        <v>1</v>
      </c>
      <c r="I578" t="s">
        <v>97</v>
      </c>
      <c r="J578" s="32">
        <v>30</v>
      </c>
      <c r="K578" s="32">
        <v>90</v>
      </c>
      <c r="L578">
        <v>0</v>
      </c>
      <c r="N578">
        <v>0</v>
      </c>
      <c r="S578">
        <v>60</v>
      </c>
      <c r="U578">
        <v>0.75</v>
      </c>
      <c r="V578">
        <v>0.2</v>
      </c>
      <c r="W578">
        <v>3.75</v>
      </c>
      <c r="X578">
        <v>1</v>
      </c>
      <c r="Y578">
        <v>2.75</v>
      </c>
      <c r="Z578">
        <v>60.5</v>
      </c>
      <c r="AA578">
        <v>5.5</v>
      </c>
      <c r="AB578">
        <v>0.53</v>
      </c>
      <c r="AC578">
        <v>3.8079999999999998</v>
      </c>
      <c r="AK578" t="s">
        <v>98</v>
      </c>
      <c r="AM578" t="s">
        <v>98</v>
      </c>
      <c r="AN578" t="s">
        <v>98</v>
      </c>
      <c r="AO578" t="s">
        <v>98</v>
      </c>
      <c r="AP578" t="s">
        <v>99</v>
      </c>
      <c r="AQ578" t="s">
        <v>102</v>
      </c>
      <c r="AV578" t="s">
        <v>98</v>
      </c>
      <c r="AX578" t="s">
        <v>197</v>
      </c>
      <c r="BF578" t="s">
        <v>1854</v>
      </c>
      <c r="BG578" t="s">
        <v>98</v>
      </c>
      <c r="BH578" t="s">
        <v>98</v>
      </c>
      <c r="BI578" t="s">
        <v>98</v>
      </c>
      <c r="CB578" t="s">
        <v>197</v>
      </c>
      <c r="CL578" t="s">
        <v>98</v>
      </c>
      <c r="CM578" t="s">
        <v>98</v>
      </c>
      <c r="CP578" s="1">
        <v>43595</v>
      </c>
    </row>
    <row r="579" spans="1:94" x14ac:dyDescent="0.25">
      <c r="A579" s="4" t="s">
        <v>1855</v>
      </c>
      <c r="B579" t="str">
        <f xml:space="preserve"> "" &amp; 706411052347</f>
        <v>706411052347</v>
      </c>
      <c r="C579" t="s">
        <v>786</v>
      </c>
      <c r="D579" t="s">
        <v>1856</v>
      </c>
      <c r="F579" t="s">
        <v>135</v>
      </c>
      <c r="G579">
        <v>1</v>
      </c>
      <c r="H579">
        <v>1</v>
      </c>
      <c r="I579" t="s">
        <v>97</v>
      </c>
      <c r="J579" s="32">
        <v>30</v>
      </c>
      <c r="K579" s="32">
        <v>90</v>
      </c>
      <c r="L579">
        <v>0</v>
      </c>
      <c r="N579">
        <v>0</v>
      </c>
      <c r="S579">
        <v>60</v>
      </c>
      <c r="U579">
        <v>0.75</v>
      </c>
      <c r="V579">
        <v>0.2</v>
      </c>
      <c r="W579">
        <v>3.75</v>
      </c>
      <c r="X579">
        <v>1</v>
      </c>
      <c r="Y579">
        <v>2.75</v>
      </c>
      <c r="Z579">
        <v>60.5</v>
      </c>
      <c r="AA579">
        <v>5.5</v>
      </c>
      <c r="AB579">
        <v>0.53</v>
      </c>
      <c r="AC579">
        <v>3.8079999999999998</v>
      </c>
      <c r="AK579" t="s">
        <v>98</v>
      </c>
      <c r="AM579" t="s">
        <v>98</v>
      </c>
      <c r="AN579" t="s">
        <v>98</v>
      </c>
      <c r="AO579" t="s">
        <v>98</v>
      </c>
      <c r="AP579" t="s">
        <v>99</v>
      </c>
      <c r="AQ579" t="s">
        <v>102</v>
      </c>
      <c r="AV579" t="s">
        <v>98</v>
      </c>
      <c r="AX579" t="s">
        <v>197</v>
      </c>
      <c r="BF579" t="s">
        <v>1857</v>
      </c>
      <c r="BG579" t="s">
        <v>98</v>
      </c>
      <c r="BH579" t="s">
        <v>98</v>
      </c>
      <c r="BI579" t="s">
        <v>98</v>
      </c>
      <c r="CB579" t="s">
        <v>197</v>
      </c>
      <c r="CL579" t="s">
        <v>98</v>
      </c>
      <c r="CM579" t="s">
        <v>98</v>
      </c>
      <c r="CP579" s="1">
        <v>43595</v>
      </c>
    </row>
    <row r="580" spans="1:94" x14ac:dyDescent="0.25">
      <c r="A580" s="4" t="s">
        <v>1858</v>
      </c>
      <c r="B580" t="str">
        <f xml:space="preserve"> "" &amp; 706411039140</f>
        <v>706411039140</v>
      </c>
      <c r="C580" t="s">
        <v>786</v>
      </c>
      <c r="D580" t="s">
        <v>1859</v>
      </c>
      <c r="F580" t="s">
        <v>135</v>
      </c>
      <c r="G580">
        <v>1</v>
      </c>
      <c r="H580">
        <v>1</v>
      </c>
      <c r="I580" t="s">
        <v>97</v>
      </c>
      <c r="J580" s="32">
        <v>30</v>
      </c>
      <c r="K580" s="32">
        <v>90</v>
      </c>
      <c r="L580">
        <v>0</v>
      </c>
      <c r="N580">
        <v>0</v>
      </c>
      <c r="S580">
        <v>60</v>
      </c>
      <c r="U580">
        <v>0.75</v>
      </c>
      <c r="V580">
        <v>0.2</v>
      </c>
      <c r="W580">
        <v>3.75</v>
      </c>
      <c r="X580">
        <v>1</v>
      </c>
      <c r="Y580">
        <v>2.75</v>
      </c>
      <c r="Z580">
        <v>60.5</v>
      </c>
      <c r="AA580">
        <v>5.5</v>
      </c>
      <c r="AB580">
        <v>0.53</v>
      </c>
      <c r="AC580">
        <v>3.8079999999999998</v>
      </c>
      <c r="AK580" t="s">
        <v>98</v>
      </c>
      <c r="AM580" t="s">
        <v>98</v>
      </c>
      <c r="AN580" t="s">
        <v>98</v>
      </c>
      <c r="AO580" t="s">
        <v>98</v>
      </c>
      <c r="AP580" t="s">
        <v>99</v>
      </c>
      <c r="AQ580" t="s">
        <v>102</v>
      </c>
      <c r="AV580" t="s">
        <v>98</v>
      </c>
      <c r="AX580" t="s">
        <v>201</v>
      </c>
      <c r="BF580" t="s">
        <v>1860</v>
      </c>
      <c r="BG580" t="s">
        <v>98</v>
      </c>
      <c r="BH580" t="s">
        <v>98</v>
      </c>
      <c r="BI580" t="s">
        <v>98</v>
      </c>
      <c r="BK580" t="s">
        <v>138</v>
      </c>
      <c r="CA580" t="s">
        <v>1808</v>
      </c>
      <c r="CB580" t="s">
        <v>201</v>
      </c>
      <c r="CL580" t="s">
        <v>98</v>
      </c>
      <c r="CM580" t="s">
        <v>98</v>
      </c>
      <c r="CO580" s="1">
        <v>40841</v>
      </c>
      <c r="CP580" s="1">
        <v>43595</v>
      </c>
    </row>
    <row r="581" spans="1:94" x14ac:dyDescent="0.25">
      <c r="A581" s="4" t="s">
        <v>1861</v>
      </c>
      <c r="B581" t="str">
        <f xml:space="preserve"> "" &amp; 706411057083</f>
        <v>706411057083</v>
      </c>
      <c r="C581" t="s">
        <v>786</v>
      </c>
      <c r="D581" t="s">
        <v>1862</v>
      </c>
      <c r="F581" t="s">
        <v>135</v>
      </c>
      <c r="G581">
        <v>1</v>
      </c>
      <c r="H581">
        <v>1</v>
      </c>
      <c r="I581" t="s">
        <v>97</v>
      </c>
      <c r="J581" s="32">
        <v>30</v>
      </c>
      <c r="K581" s="32">
        <v>90</v>
      </c>
      <c r="L581">
        <v>0</v>
      </c>
      <c r="N581">
        <v>0</v>
      </c>
      <c r="S581">
        <v>60</v>
      </c>
      <c r="U581">
        <v>0.75</v>
      </c>
      <c r="V581">
        <v>0.2</v>
      </c>
      <c r="W581">
        <v>3.75</v>
      </c>
      <c r="X581">
        <v>1</v>
      </c>
      <c r="Y581">
        <v>2.75</v>
      </c>
      <c r="Z581">
        <v>60.5</v>
      </c>
      <c r="AA581">
        <v>5.5</v>
      </c>
      <c r="AB581">
        <v>0.53</v>
      </c>
      <c r="AC581">
        <v>3.8079999999999998</v>
      </c>
      <c r="AK581" t="s">
        <v>98</v>
      </c>
      <c r="AM581" t="s">
        <v>98</v>
      </c>
      <c r="AN581" t="s">
        <v>98</v>
      </c>
      <c r="AO581" t="s">
        <v>98</v>
      </c>
      <c r="AP581" t="s">
        <v>99</v>
      </c>
      <c r="AQ581" t="s">
        <v>102</v>
      </c>
      <c r="AV581" t="s">
        <v>98</v>
      </c>
      <c r="AX581" t="s">
        <v>859</v>
      </c>
      <c r="BF581" t="s">
        <v>1863</v>
      </c>
      <c r="BG581" t="s">
        <v>98</v>
      </c>
      <c r="BH581" t="s">
        <v>98</v>
      </c>
      <c r="BI581" t="s">
        <v>98</v>
      </c>
      <c r="BK581" t="s">
        <v>138</v>
      </c>
      <c r="CA581" t="s">
        <v>1832</v>
      </c>
      <c r="CB581" t="s">
        <v>859</v>
      </c>
      <c r="CL581" t="s">
        <v>98</v>
      </c>
      <c r="CM581" t="s">
        <v>98</v>
      </c>
      <c r="CO581" s="1">
        <v>43399</v>
      </c>
      <c r="CP581" s="1">
        <v>43595</v>
      </c>
    </row>
    <row r="582" spans="1:94" x14ac:dyDescent="0.25">
      <c r="A582" s="4" t="s">
        <v>1864</v>
      </c>
      <c r="B582" t="str">
        <f xml:space="preserve"> "" &amp; 706411043321</f>
        <v>706411043321</v>
      </c>
      <c r="C582" t="s">
        <v>786</v>
      </c>
      <c r="D582" t="s">
        <v>1865</v>
      </c>
      <c r="F582" t="s">
        <v>135</v>
      </c>
      <c r="G582">
        <v>1</v>
      </c>
      <c r="H582">
        <v>1</v>
      </c>
      <c r="I582" t="s">
        <v>97</v>
      </c>
      <c r="J582" s="32">
        <v>30</v>
      </c>
      <c r="K582" s="32">
        <v>90</v>
      </c>
      <c r="L582">
        <v>0</v>
      </c>
      <c r="N582">
        <v>0</v>
      </c>
      <c r="S582">
        <v>60</v>
      </c>
      <c r="U582">
        <v>0.75</v>
      </c>
      <c r="V582">
        <v>0.2</v>
      </c>
      <c r="W582">
        <v>3.75</v>
      </c>
      <c r="X582">
        <v>1</v>
      </c>
      <c r="Y582">
        <v>2.75</v>
      </c>
      <c r="Z582">
        <v>60.5</v>
      </c>
      <c r="AA582">
        <v>5.5</v>
      </c>
      <c r="AB582">
        <v>0.53</v>
      </c>
      <c r="AC582">
        <v>3.8079999999999998</v>
      </c>
      <c r="AK582" t="s">
        <v>98</v>
      </c>
      <c r="AM582" t="s">
        <v>98</v>
      </c>
      <c r="AN582" t="s">
        <v>98</v>
      </c>
      <c r="AO582" t="s">
        <v>98</v>
      </c>
      <c r="AP582" t="s">
        <v>99</v>
      </c>
      <c r="AQ582" t="s">
        <v>102</v>
      </c>
      <c r="AV582" t="s">
        <v>98</v>
      </c>
      <c r="AX582" t="s">
        <v>205</v>
      </c>
      <c r="BF582" t="s">
        <v>1866</v>
      </c>
      <c r="BG582" t="s">
        <v>98</v>
      </c>
      <c r="BH582" t="s">
        <v>98</v>
      </c>
      <c r="BI582" t="s">
        <v>98</v>
      </c>
      <c r="BK582" t="s">
        <v>138</v>
      </c>
      <c r="CA582" t="s">
        <v>1832</v>
      </c>
      <c r="CB582" t="s">
        <v>205</v>
      </c>
      <c r="CL582" t="s">
        <v>98</v>
      </c>
      <c r="CM582" t="s">
        <v>98</v>
      </c>
      <c r="CN582" t="s">
        <v>349</v>
      </c>
      <c r="CP582" s="1">
        <v>43595</v>
      </c>
    </row>
    <row r="583" spans="1:94" x14ac:dyDescent="0.25">
      <c r="A583" s="4" t="s">
        <v>1867</v>
      </c>
      <c r="B583" t="str">
        <f xml:space="preserve"> "" &amp; 706411053283</f>
        <v>706411053283</v>
      </c>
      <c r="C583" t="s">
        <v>786</v>
      </c>
      <c r="D583" t="s">
        <v>1868</v>
      </c>
      <c r="F583" t="s">
        <v>135</v>
      </c>
      <c r="G583">
        <v>1</v>
      </c>
      <c r="H583">
        <v>1</v>
      </c>
      <c r="I583" t="s">
        <v>97</v>
      </c>
      <c r="J583" s="32">
        <v>30</v>
      </c>
      <c r="K583" s="32">
        <v>90</v>
      </c>
      <c r="L583">
        <v>0</v>
      </c>
      <c r="N583">
        <v>0</v>
      </c>
      <c r="S583">
        <v>60</v>
      </c>
      <c r="U583">
        <v>0.75</v>
      </c>
      <c r="V583">
        <v>0.2</v>
      </c>
      <c r="W583">
        <v>3.75</v>
      </c>
      <c r="X583">
        <v>1</v>
      </c>
      <c r="Y583">
        <v>2.75</v>
      </c>
      <c r="Z583">
        <v>60.5</v>
      </c>
      <c r="AA583">
        <v>5.5</v>
      </c>
      <c r="AB583">
        <v>0.53</v>
      </c>
      <c r="AC583">
        <v>3.8079999999999998</v>
      </c>
      <c r="AK583" t="s">
        <v>98</v>
      </c>
      <c r="AM583" t="s">
        <v>98</v>
      </c>
      <c r="AN583" t="s">
        <v>98</v>
      </c>
      <c r="AO583" t="s">
        <v>98</v>
      </c>
      <c r="AP583" t="s">
        <v>99</v>
      </c>
      <c r="AQ583" t="s">
        <v>102</v>
      </c>
      <c r="AV583" t="s">
        <v>98</v>
      </c>
      <c r="AX583" t="s">
        <v>371</v>
      </c>
      <c r="BF583" t="s">
        <v>1869</v>
      </c>
      <c r="BG583" t="s">
        <v>98</v>
      </c>
      <c r="BH583" t="s">
        <v>98</v>
      </c>
      <c r="BI583" t="s">
        <v>98</v>
      </c>
      <c r="CB583" t="s">
        <v>371</v>
      </c>
      <c r="CL583" t="s">
        <v>98</v>
      </c>
      <c r="CM583" t="s">
        <v>98</v>
      </c>
      <c r="CP583" s="1">
        <v>43595</v>
      </c>
    </row>
    <row r="584" spans="1:94" x14ac:dyDescent="0.25">
      <c r="A584" s="4" t="s">
        <v>1870</v>
      </c>
      <c r="B584" t="str">
        <f xml:space="preserve"> "" &amp; 706411060571</f>
        <v>706411060571</v>
      </c>
      <c r="C584" t="s">
        <v>786</v>
      </c>
      <c r="D584" t="s">
        <v>4355</v>
      </c>
      <c r="F584" t="s">
        <v>135</v>
      </c>
      <c r="G584">
        <v>1</v>
      </c>
      <c r="H584">
        <v>1</v>
      </c>
      <c r="I584" t="s">
        <v>97</v>
      </c>
      <c r="J584" s="32">
        <v>30</v>
      </c>
      <c r="K584" s="32">
        <v>90</v>
      </c>
      <c r="L584">
        <v>0</v>
      </c>
      <c r="N584">
        <v>0</v>
      </c>
      <c r="S584">
        <v>60</v>
      </c>
      <c r="U584">
        <v>0.75</v>
      </c>
      <c r="V584">
        <v>0.2</v>
      </c>
      <c r="W584">
        <v>3.75</v>
      </c>
      <c r="X584">
        <v>1</v>
      </c>
      <c r="Y584">
        <v>2.75</v>
      </c>
      <c r="Z584">
        <v>60.5</v>
      </c>
      <c r="AA584">
        <v>5.5</v>
      </c>
      <c r="AB584">
        <v>0.53</v>
      </c>
      <c r="AC584">
        <v>3.79</v>
      </c>
      <c r="AK584" t="s">
        <v>98</v>
      </c>
      <c r="AM584" t="s">
        <v>98</v>
      </c>
      <c r="AN584" t="s">
        <v>98</v>
      </c>
      <c r="AO584" t="s">
        <v>98</v>
      </c>
      <c r="AP584" t="s">
        <v>99</v>
      </c>
      <c r="AQ584" t="s">
        <v>102</v>
      </c>
      <c r="AV584" t="s">
        <v>98</v>
      </c>
      <c r="AX584" t="s">
        <v>1095</v>
      </c>
      <c r="BF584" t="s">
        <v>1871</v>
      </c>
      <c r="BG584" t="s">
        <v>98</v>
      </c>
      <c r="BH584" t="s">
        <v>98</v>
      </c>
      <c r="BI584" t="s">
        <v>98</v>
      </c>
      <c r="BJ584" t="s">
        <v>291</v>
      </c>
      <c r="BK584" t="s">
        <v>292</v>
      </c>
      <c r="CA584" t="s">
        <v>1832</v>
      </c>
      <c r="CB584" t="s">
        <v>1095</v>
      </c>
      <c r="CL584" t="s">
        <v>98</v>
      </c>
      <c r="CM584" t="s">
        <v>98</v>
      </c>
      <c r="CN584" t="s">
        <v>349</v>
      </c>
      <c r="CO584" s="1">
        <v>43577</v>
      </c>
      <c r="CP584" s="1">
        <v>43648</v>
      </c>
    </row>
    <row r="585" spans="1:94" x14ac:dyDescent="0.25">
      <c r="A585" s="4" t="s">
        <v>1872</v>
      </c>
      <c r="B585" t="str">
        <f xml:space="preserve"> "" &amp; 706411056864</f>
        <v>706411056864</v>
      </c>
      <c r="C585" t="s">
        <v>786</v>
      </c>
      <c r="D585" t="s">
        <v>1873</v>
      </c>
      <c r="F585" t="s">
        <v>135</v>
      </c>
      <c r="G585">
        <v>1</v>
      </c>
      <c r="H585">
        <v>1</v>
      </c>
      <c r="I585" t="s">
        <v>97</v>
      </c>
      <c r="J585" s="32">
        <v>30</v>
      </c>
      <c r="K585" s="32">
        <v>90</v>
      </c>
      <c r="L585">
        <v>0</v>
      </c>
      <c r="N585">
        <v>0</v>
      </c>
      <c r="S585">
        <v>60</v>
      </c>
      <c r="U585">
        <v>0.75</v>
      </c>
      <c r="V585">
        <v>0.2</v>
      </c>
      <c r="W585">
        <v>3.75</v>
      </c>
      <c r="X585">
        <v>1</v>
      </c>
      <c r="Y585">
        <v>2.75</v>
      </c>
      <c r="Z585">
        <v>60.5</v>
      </c>
      <c r="AA585">
        <v>5.5</v>
      </c>
      <c r="AB585">
        <v>0.53</v>
      </c>
      <c r="AC585">
        <v>3.8079999999999998</v>
      </c>
      <c r="AK585" t="s">
        <v>98</v>
      </c>
      <c r="AM585" t="s">
        <v>98</v>
      </c>
      <c r="AN585" t="s">
        <v>98</v>
      </c>
      <c r="AO585" t="s">
        <v>98</v>
      </c>
      <c r="AP585" t="s">
        <v>99</v>
      </c>
      <c r="AQ585" t="s">
        <v>102</v>
      </c>
      <c r="AV585" t="s">
        <v>98</v>
      </c>
      <c r="AX585" t="s">
        <v>209</v>
      </c>
      <c r="BF585" t="s">
        <v>1874</v>
      </c>
      <c r="BG585" t="s">
        <v>98</v>
      </c>
      <c r="BH585" t="s">
        <v>98</v>
      </c>
      <c r="BI585" t="s">
        <v>98</v>
      </c>
      <c r="BK585" t="s">
        <v>138</v>
      </c>
      <c r="CB585" t="s">
        <v>209</v>
      </c>
      <c r="CL585" t="s">
        <v>98</v>
      </c>
      <c r="CM585" t="s">
        <v>98</v>
      </c>
      <c r="CN585" t="s">
        <v>349</v>
      </c>
      <c r="CO585" s="1">
        <v>43147</v>
      </c>
      <c r="CP585" s="1">
        <v>43595</v>
      </c>
    </row>
    <row r="586" spans="1:94" x14ac:dyDescent="0.25">
      <c r="A586" s="4" t="s">
        <v>1875</v>
      </c>
      <c r="B586" t="str">
        <f xml:space="preserve"> "" &amp; 706411025693</f>
        <v>706411025693</v>
      </c>
      <c r="C586" t="s">
        <v>786</v>
      </c>
      <c r="D586" t="s">
        <v>4430</v>
      </c>
      <c r="F586" t="s">
        <v>135</v>
      </c>
      <c r="G586">
        <v>1</v>
      </c>
      <c r="H586">
        <v>1</v>
      </c>
      <c r="I586" t="s">
        <v>97</v>
      </c>
      <c r="J586" s="32">
        <v>30</v>
      </c>
      <c r="K586" s="32">
        <v>90</v>
      </c>
      <c r="L586">
        <v>0</v>
      </c>
      <c r="N586">
        <v>0</v>
      </c>
      <c r="S586">
        <v>60</v>
      </c>
      <c r="U586">
        <v>0.75</v>
      </c>
      <c r="V586">
        <v>0.2</v>
      </c>
      <c r="W586">
        <v>3.75</v>
      </c>
      <c r="X586">
        <v>1</v>
      </c>
      <c r="Y586">
        <v>2.75</v>
      </c>
      <c r="Z586">
        <v>60.5</v>
      </c>
      <c r="AA586">
        <v>5.5</v>
      </c>
      <c r="AB586">
        <v>0.53</v>
      </c>
      <c r="AC586">
        <v>3.8079999999999998</v>
      </c>
      <c r="AK586" t="s">
        <v>98</v>
      </c>
      <c r="AM586" t="s">
        <v>98</v>
      </c>
      <c r="AN586" t="s">
        <v>98</v>
      </c>
      <c r="AO586" t="s">
        <v>98</v>
      </c>
      <c r="AP586" t="s">
        <v>99</v>
      </c>
      <c r="AQ586" t="s">
        <v>102</v>
      </c>
      <c r="AV586" t="s">
        <v>98</v>
      </c>
      <c r="AX586" t="s">
        <v>212</v>
      </c>
      <c r="BF586" t="s">
        <v>1876</v>
      </c>
      <c r="BG586" t="s">
        <v>98</v>
      </c>
      <c r="BH586" t="s">
        <v>98</v>
      </c>
      <c r="BI586" t="s">
        <v>98</v>
      </c>
      <c r="BK586" t="s">
        <v>138</v>
      </c>
      <c r="CA586" t="s">
        <v>1808</v>
      </c>
      <c r="CB586" t="s">
        <v>212</v>
      </c>
      <c r="CL586" t="s">
        <v>98</v>
      </c>
      <c r="CM586" t="s">
        <v>98</v>
      </c>
      <c r="CO586" s="1">
        <v>39728</v>
      </c>
      <c r="CP586" s="1">
        <v>43595</v>
      </c>
    </row>
    <row r="587" spans="1:94" x14ac:dyDescent="0.25">
      <c r="A587" s="4" t="s">
        <v>1877</v>
      </c>
      <c r="B587" t="str">
        <f xml:space="preserve"> "" &amp; 706411043338</f>
        <v>706411043338</v>
      </c>
      <c r="C587" t="s">
        <v>786</v>
      </c>
      <c r="D587" t="s">
        <v>1878</v>
      </c>
      <c r="F587" t="s">
        <v>135</v>
      </c>
      <c r="G587">
        <v>1</v>
      </c>
      <c r="H587">
        <v>1</v>
      </c>
      <c r="I587" t="s">
        <v>97</v>
      </c>
      <c r="J587" s="32">
        <v>30</v>
      </c>
      <c r="K587" s="32">
        <v>90</v>
      </c>
      <c r="L587">
        <v>0</v>
      </c>
      <c r="N587">
        <v>0</v>
      </c>
      <c r="S587">
        <v>60</v>
      </c>
      <c r="U587">
        <v>0.75</v>
      </c>
      <c r="V587">
        <v>0.2</v>
      </c>
      <c r="W587">
        <v>3.75</v>
      </c>
      <c r="X587">
        <v>1</v>
      </c>
      <c r="Y587">
        <v>2.75</v>
      </c>
      <c r="Z587">
        <v>60.5</v>
      </c>
      <c r="AA587">
        <v>5.5</v>
      </c>
      <c r="AB587">
        <v>0.53</v>
      </c>
      <c r="AC587">
        <v>3.8079999999999998</v>
      </c>
      <c r="AK587" t="s">
        <v>98</v>
      </c>
      <c r="AM587" t="s">
        <v>98</v>
      </c>
      <c r="AN587" t="s">
        <v>98</v>
      </c>
      <c r="AO587" t="s">
        <v>98</v>
      </c>
      <c r="AP587" t="s">
        <v>99</v>
      </c>
      <c r="AQ587" t="s">
        <v>102</v>
      </c>
      <c r="AV587" t="s">
        <v>98</v>
      </c>
      <c r="AX587" t="s">
        <v>219</v>
      </c>
      <c r="BF587" t="s">
        <v>1879</v>
      </c>
      <c r="BG587" t="s">
        <v>98</v>
      </c>
      <c r="BH587" t="s">
        <v>98</v>
      </c>
      <c r="BI587" t="s">
        <v>98</v>
      </c>
      <c r="CB587" t="s">
        <v>219</v>
      </c>
      <c r="CL587" t="s">
        <v>98</v>
      </c>
      <c r="CM587" t="s">
        <v>98</v>
      </c>
      <c r="CP587" s="1">
        <v>43595</v>
      </c>
    </row>
    <row r="588" spans="1:94" x14ac:dyDescent="0.25">
      <c r="A588" s="4" t="s">
        <v>1880</v>
      </c>
      <c r="B588" t="str">
        <f xml:space="preserve"> "" &amp; 706411033544</f>
        <v>706411033544</v>
      </c>
      <c r="C588" t="s">
        <v>786</v>
      </c>
      <c r="D588" t="s">
        <v>1881</v>
      </c>
      <c r="F588" t="s">
        <v>135</v>
      </c>
      <c r="G588">
        <v>1</v>
      </c>
      <c r="H588">
        <v>1</v>
      </c>
      <c r="I588" t="s">
        <v>97</v>
      </c>
      <c r="J588" s="32">
        <v>30</v>
      </c>
      <c r="K588" s="32">
        <v>90</v>
      </c>
      <c r="L588">
        <v>0</v>
      </c>
      <c r="N588">
        <v>0</v>
      </c>
      <c r="S588">
        <v>60</v>
      </c>
      <c r="U588">
        <v>0.75</v>
      </c>
      <c r="V588">
        <v>0.2</v>
      </c>
      <c r="W588">
        <v>3.75</v>
      </c>
      <c r="X588">
        <v>1</v>
      </c>
      <c r="Y588">
        <v>2.75</v>
      </c>
      <c r="Z588">
        <v>60.5</v>
      </c>
      <c r="AA588">
        <v>5.5</v>
      </c>
      <c r="AB588">
        <v>0.53</v>
      </c>
      <c r="AC588">
        <v>3.8079999999999998</v>
      </c>
      <c r="AK588" t="s">
        <v>98</v>
      </c>
      <c r="AM588" t="s">
        <v>98</v>
      </c>
      <c r="AN588" t="s">
        <v>98</v>
      </c>
      <c r="AO588" t="s">
        <v>98</v>
      </c>
      <c r="AP588" t="s">
        <v>99</v>
      </c>
      <c r="AQ588" t="s">
        <v>102</v>
      </c>
      <c r="AV588" t="s">
        <v>98</v>
      </c>
      <c r="AX588" t="s">
        <v>223</v>
      </c>
      <c r="BF588" t="s">
        <v>1882</v>
      </c>
      <c r="BG588" t="s">
        <v>98</v>
      </c>
      <c r="BH588" t="s">
        <v>98</v>
      </c>
      <c r="BI588" t="s">
        <v>98</v>
      </c>
      <c r="CB588" t="s">
        <v>223</v>
      </c>
      <c r="CL588" t="s">
        <v>98</v>
      </c>
      <c r="CM588" t="s">
        <v>98</v>
      </c>
      <c r="CP588" s="1">
        <v>43595</v>
      </c>
    </row>
    <row r="589" spans="1:94" x14ac:dyDescent="0.25">
      <c r="A589" s="4" t="s">
        <v>1883</v>
      </c>
      <c r="B589" t="str">
        <f xml:space="preserve"> "" &amp; 706411039164</f>
        <v>706411039164</v>
      </c>
      <c r="C589" t="s">
        <v>786</v>
      </c>
      <c r="D589" t="s">
        <v>1884</v>
      </c>
      <c r="F589" t="s">
        <v>135</v>
      </c>
      <c r="G589">
        <v>1</v>
      </c>
      <c r="H589">
        <v>1</v>
      </c>
      <c r="I589" t="s">
        <v>97</v>
      </c>
      <c r="J589" s="32">
        <v>30</v>
      </c>
      <c r="K589" s="32">
        <v>90</v>
      </c>
      <c r="L589">
        <v>0</v>
      </c>
      <c r="N589">
        <v>0</v>
      </c>
      <c r="S589">
        <v>60</v>
      </c>
      <c r="U589">
        <v>0.75</v>
      </c>
      <c r="V589">
        <v>0.2</v>
      </c>
      <c r="W589">
        <v>3.75</v>
      </c>
      <c r="X589">
        <v>1</v>
      </c>
      <c r="Y589">
        <v>2.75</v>
      </c>
      <c r="Z589">
        <v>60.5</v>
      </c>
      <c r="AA589">
        <v>5.5</v>
      </c>
      <c r="AB589">
        <v>0.53</v>
      </c>
      <c r="AC589">
        <v>3.8079999999999998</v>
      </c>
      <c r="AK589" t="s">
        <v>98</v>
      </c>
      <c r="AM589" t="s">
        <v>98</v>
      </c>
      <c r="AN589" t="s">
        <v>98</v>
      </c>
      <c r="AO589" t="s">
        <v>98</v>
      </c>
      <c r="AP589" t="s">
        <v>99</v>
      </c>
      <c r="AQ589" t="s">
        <v>102</v>
      </c>
      <c r="AV589" t="s">
        <v>98</v>
      </c>
      <c r="AX589" t="s">
        <v>227</v>
      </c>
      <c r="BF589" t="s">
        <v>1885</v>
      </c>
      <c r="BG589" t="s">
        <v>98</v>
      </c>
      <c r="BH589" t="s">
        <v>98</v>
      </c>
      <c r="BI589" t="s">
        <v>98</v>
      </c>
      <c r="CB589" t="s">
        <v>227</v>
      </c>
      <c r="CL589" t="s">
        <v>98</v>
      </c>
      <c r="CM589" t="s">
        <v>98</v>
      </c>
      <c r="CP589" s="1">
        <v>43595</v>
      </c>
    </row>
    <row r="590" spans="1:94" x14ac:dyDescent="0.25">
      <c r="A590" s="4" t="s">
        <v>1886</v>
      </c>
      <c r="B590" t="str">
        <f xml:space="preserve"> "" &amp; 706411027376</f>
        <v>706411027376</v>
      </c>
      <c r="C590" t="s">
        <v>786</v>
      </c>
      <c r="D590" t="s">
        <v>1887</v>
      </c>
      <c r="F590" t="s">
        <v>135</v>
      </c>
      <c r="G590">
        <v>1</v>
      </c>
      <c r="H590">
        <v>1</v>
      </c>
      <c r="I590" t="s">
        <v>97</v>
      </c>
      <c r="J590" s="32">
        <v>30</v>
      </c>
      <c r="K590" s="32">
        <v>90</v>
      </c>
      <c r="L590">
        <v>0</v>
      </c>
      <c r="N590">
        <v>0</v>
      </c>
      <c r="S590">
        <v>60</v>
      </c>
      <c r="U590">
        <v>0.75</v>
      </c>
      <c r="V590">
        <v>0.2</v>
      </c>
      <c r="W590">
        <v>3.75</v>
      </c>
      <c r="X590">
        <v>1</v>
      </c>
      <c r="Y590">
        <v>2.75</v>
      </c>
      <c r="Z590">
        <v>60.5</v>
      </c>
      <c r="AA590">
        <v>5.5</v>
      </c>
      <c r="AB590">
        <v>0.53</v>
      </c>
      <c r="AC590">
        <v>3.8079999999999998</v>
      </c>
      <c r="AK590" t="s">
        <v>98</v>
      </c>
      <c r="AM590" t="s">
        <v>98</v>
      </c>
      <c r="AN590" t="s">
        <v>98</v>
      </c>
      <c r="AO590" t="s">
        <v>98</v>
      </c>
      <c r="AP590" t="s">
        <v>99</v>
      </c>
      <c r="AQ590" t="s">
        <v>102</v>
      </c>
      <c r="AV590" t="s">
        <v>98</v>
      </c>
      <c r="AX590" t="s">
        <v>231</v>
      </c>
      <c r="BF590" t="s">
        <v>1888</v>
      </c>
      <c r="BG590" t="s">
        <v>98</v>
      </c>
      <c r="BH590" t="s">
        <v>98</v>
      </c>
      <c r="BI590" t="s">
        <v>98</v>
      </c>
      <c r="BK590" t="s">
        <v>138</v>
      </c>
      <c r="CA590" t="s">
        <v>1808</v>
      </c>
      <c r="CB590" t="s">
        <v>231</v>
      </c>
      <c r="CL590" t="s">
        <v>98</v>
      </c>
      <c r="CM590" t="s">
        <v>98</v>
      </c>
      <c r="CO590" s="1">
        <v>39728</v>
      </c>
      <c r="CP590" s="1">
        <v>43595</v>
      </c>
    </row>
    <row r="591" spans="1:94" x14ac:dyDescent="0.25">
      <c r="A591" s="4" t="s">
        <v>1889</v>
      </c>
      <c r="B591" t="str">
        <f xml:space="preserve"> "" &amp; 706411027284</f>
        <v>706411027284</v>
      </c>
      <c r="C591" t="s">
        <v>786</v>
      </c>
      <c r="D591" t="s">
        <v>1890</v>
      </c>
      <c r="F591" t="s">
        <v>135</v>
      </c>
      <c r="G591">
        <v>1</v>
      </c>
      <c r="H591">
        <v>1</v>
      </c>
      <c r="I591" t="s">
        <v>97</v>
      </c>
      <c r="J591" s="32">
        <v>30</v>
      </c>
      <c r="K591" s="32">
        <v>90</v>
      </c>
      <c r="L591">
        <v>0</v>
      </c>
      <c r="N591">
        <v>0</v>
      </c>
      <c r="S591">
        <v>60</v>
      </c>
      <c r="U591">
        <v>0.75</v>
      </c>
      <c r="V591">
        <v>0.2</v>
      </c>
      <c r="W591">
        <v>3.75</v>
      </c>
      <c r="X591">
        <v>1</v>
      </c>
      <c r="Y591">
        <v>2.75</v>
      </c>
      <c r="Z591">
        <v>60.5</v>
      </c>
      <c r="AA591">
        <v>5.5</v>
      </c>
      <c r="AB591">
        <v>0.53</v>
      </c>
      <c r="AC591">
        <v>3.8079999999999998</v>
      </c>
      <c r="AK591" t="s">
        <v>98</v>
      </c>
      <c r="AM591" t="s">
        <v>98</v>
      </c>
      <c r="AN591" t="s">
        <v>98</v>
      </c>
      <c r="AO591" t="s">
        <v>98</v>
      </c>
      <c r="AP591" t="s">
        <v>99</v>
      </c>
      <c r="AQ591" t="s">
        <v>102</v>
      </c>
      <c r="AV591" t="s">
        <v>98</v>
      </c>
      <c r="AX591" t="s">
        <v>235</v>
      </c>
      <c r="BF591" t="s">
        <v>1891</v>
      </c>
      <c r="BG591" t="s">
        <v>98</v>
      </c>
      <c r="BH591" t="s">
        <v>98</v>
      </c>
      <c r="BI591" t="s">
        <v>98</v>
      </c>
      <c r="BK591" t="s">
        <v>138</v>
      </c>
      <c r="CA591" t="s">
        <v>1808</v>
      </c>
      <c r="CB591" t="s">
        <v>235</v>
      </c>
      <c r="CL591" t="s">
        <v>98</v>
      </c>
      <c r="CM591" t="s">
        <v>98</v>
      </c>
      <c r="CO591" s="1">
        <v>39728</v>
      </c>
      <c r="CP591" s="1">
        <v>43595</v>
      </c>
    </row>
    <row r="592" spans="1:94" x14ac:dyDescent="0.25">
      <c r="A592" s="4" t="s">
        <v>1892</v>
      </c>
      <c r="B592" t="str">
        <f xml:space="preserve"> "" &amp; 706411035654</f>
        <v>706411035654</v>
      </c>
      <c r="C592" t="s">
        <v>786</v>
      </c>
      <c r="D592" t="s">
        <v>4431</v>
      </c>
      <c r="F592" t="s">
        <v>135</v>
      </c>
      <c r="G592">
        <v>1</v>
      </c>
      <c r="H592">
        <v>1</v>
      </c>
      <c r="I592" t="s">
        <v>97</v>
      </c>
      <c r="J592" s="32">
        <v>30</v>
      </c>
      <c r="K592" s="32">
        <v>90</v>
      </c>
      <c r="L592">
        <v>0</v>
      </c>
      <c r="N592">
        <v>0</v>
      </c>
      <c r="S592">
        <v>60</v>
      </c>
      <c r="U592">
        <v>0.75</v>
      </c>
      <c r="V592">
        <v>0.2</v>
      </c>
      <c r="W592">
        <v>3.75</v>
      </c>
      <c r="X592">
        <v>1</v>
      </c>
      <c r="Y592">
        <v>2.75</v>
      </c>
      <c r="Z592">
        <v>60.5</v>
      </c>
      <c r="AA592">
        <v>5.5</v>
      </c>
      <c r="AB592">
        <v>0.53</v>
      </c>
      <c r="AC592">
        <v>3.8079999999999998</v>
      </c>
      <c r="AK592" t="s">
        <v>98</v>
      </c>
      <c r="AM592" t="s">
        <v>98</v>
      </c>
      <c r="AN592" t="s">
        <v>98</v>
      </c>
      <c r="AO592" t="s">
        <v>98</v>
      </c>
      <c r="AP592" t="s">
        <v>99</v>
      </c>
      <c r="AQ592" t="s">
        <v>102</v>
      </c>
      <c r="AV592" t="s">
        <v>98</v>
      </c>
      <c r="AX592" t="s">
        <v>238</v>
      </c>
      <c r="BF592" t="s">
        <v>1893</v>
      </c>
      <c r="BG592" t="s">
        <v>98</v>
      </c>
      <c r="BH592" t="s">
        <v>98</v>
      </c>
      <c r="BI592" t="s">
        <v>98</v>
      </c>
      <c r="BK592" t="s">
        <v>138</v>
      </c>
      <c r="CA592" t="s">
        <v>1808</v>
      </c>
      <c r="CB592" t="s">
        <v>238</v>
      </c>
      <c r="CL592" t="s">
        <v>98</v>
      </c>
      <c r="CM592" t="s">
        <v>98</v>
      </c>
      <c r="CO592" s="1">
        <v>39728</v>
      </c>
      <c r="CP592" s="1">
        <v>43595</v>
      </c>
    </row>
    <row r="593" spans="1:94" x14ac:dyDescent="0.25">
      <c r="A593" s="4" t="s">
        <v>1894</v>
      </c>
      <c r="B593" t="str">
        <f xml:space="preserve"> "" &amp; 706411053184</f>
        <v>706411053184</v>
      </c>
      <c r="C593" t="s">
        <v>786</v>
      </c>
      <c r="D593" t="s">
        <v>1895</v>
      </c>
      <c r="F593" t="s">
        <v>135</v>
      </c>
      <c r="G593">
        <v>1</v>
      </c>
      <c r="H593">
        <v>1</v>
      </c>
      <c r="I593" t="s">
        <v>97</v>
      </c>
      <c r="J593" s="32">
        <v>30</v>
      </c>
      <c r="K593" s="32">
        <v>90</v>
      </c>
      <c r="L593">
        <v>0</v>
      </c>
      <c r="N593">
        <v>0</v>
      </c>
      <c r="S593">
        <v>60</v>
      </c>
      <c r="U593">
        <v>0.75</v>
      </c>
      <c r="V593">
        <v>0.2</v>
      </c>
      <c r="W593">
        <v>3.75</v>
      </c>
      <c r="X593">
        <v>1</v>
      </c>
      <c r="Y593">
        <v>2.75</v>
      </c>
      <c r="Z593">
        <v>60.5</v>
      </c>
      <c r="AA593">
        <v>5.5</v>
      </c>
      <c r="AB593">
        <v>0.53</v>
      </c>
      <c r="AC593">
        <v>3.8079999999999998</v>
      </c>
      <c r="AK593" t="s">
        <v>98</v>
      </c>
      <c r="AM593" t="s">
        <v>98</v>
      </c>
      <c r="AN593" t="s">
        <v>98</v>
      </c>
      <c r="AO593" t="s">
        <v>98</v>
      </c>
      <c r="AP593" t="s">
        <v>99</v>
      </c>
      <c r="AQ593" t="s">
        <v>102</v>
      </c>
      <c r="AV593" t="s">
        <v>98</v>
      </c>
      <c r="BF593" t="s">
        <v>1896</v>
      </c>
      <c r="BG593" t="s">
        <v>98</v>
      </c>
      <c r="BH593" t="s">
        <v>98</v>
      </c>
      <c r="BI593" t="s">
        <v>98</v>
      </c>
      <c r="CL593" t="s">
        <v>98</v>
      </c>
      <c r="CM593" t="s">
        <v>98</v>
      </c>
      <c r="CP593" s="1">
        <v>43595</v>
      </c>
    </row>
    <row r="594" spans="1:94" x14ac:dyDescent="0.25">
      <c r="A594" s="4" t="s">
        <v>1897</v>
      </c>
      <c r="B594" t="str">
        <f xml:space="preserve"> "" &amp; 706411010040</f>
        <v>706411010040</v>
      </c>
      <c r="C594" t="s">
        <v>786</v>
      </c>
      <c r="D594" t="s">
        <v>1898</v>
      </c>
      <c r="F594" t="s">
        <v>135</v>
      </c>
      <c r="G594">
        <v>1</v>
      </c>
      <c r="H594">
        <v>1</v>
      </c>
      <c r="I594" t="s">
        <v>97</v>
      </c>
      <c r="J594" s="32">
        <v>30</v>
      </c>
      <c r="K594" s="32">
        <v>90</v>
      </c>
      <c r="L594">
        <v>0</v>
      </c>
      <c r="N594">
        <v>0</v>
      </c>
      <c r="S594">
        <v>60</v>
      </c>
      <c r="U594">
        <v>0.75</v>
      </c>
      <c r="V594">
        <v>0.2</v>
      </c>
      <c r="W594">
        <v>3.75</v>
      </c>
      <c r="X594">
        <v>1</v>
      </c>
      <c r="Y594">
        <v>2.75</v>
      </c>
      <c r="Z594">
        <v>60.5</v>
      </c>
      <c r="AA594">
        <v>5.5</v>
      </c>
      <c r="AB594">
        <v>0.53</v>
      </c>
      <c r="AC594">
        <v>3.8079999999999998</v>
      </c>
      <c r="AK594" t="s">
        <v>98</v>
      </c>
      <c r="AM594" t="s">
        <v>98</v>
      </c>
      <c r="AN594" t="s">
        <v>98</v>
      </c>
      <c r="AO594" t="s">
        <v>98</v>
      </c>
      <c r="AP594" t="s">
        <v>99</v>
      </c>
      <c r="AQ594" t="s">
        <v>102</v>
      </c>
      <c r="AV594" t="s">
        <v>98</v>
      </c>
      <c r="AX594" t="s">
        <v>245</v>
      </c>
      <c r="BF594" t="s">
        <v>1899</v>
      </c>
      <c r="BG594" t="s">
        <v>98</v>
      </c>
      <c r="BH594" t="s">
        <v>98</v>
      </c>
      <c r="BI594" t="s">
        <v>98</v>
      </c>
      <c r="BK594" t="s">
        <v>138</v>
      </c>
      <c r="CA594" t="s">
        <v>1808</v>
      </c>
      <c r="CB594" t="s">
        <v>245</v>
      </c>
      <c r="CL594" t="s">
        <v>98</v>
      </c>
      <c r="CM594" t="s">
        <v>98</v>
      </c>
      <c r="CO594" s="1">
        <v>39728</v>
      </c>
      <c r="CP594" s="1">
        <v>43595</v>
      </c>
    </row>
    <row r="595" spans="1:94" x14ac:dyDescent="0.25">
      <c r="A595" s="4" t="s">
        <v>1900</v>
      </c>
      <c r="B595" t="str">
        <f xml:space="preserve"> "" &amp; 706411039553</f>
        <v>706411039553</v>
      </c>
      <c r="C595" t="s">
        <v>786</v>
      </c>
      <c r="D595" t="s">
        <v>1901</v>
      </c>
      <c r="F595" t="s">
        <v>135</v>
      </c>
      <c r="G595">
        <v>1</v>
      </c>
      <c r="H595">
        <v>1</v>
      </c>
      <c r="I595" t="s">
        <v>97</v>
      </c>
      <c r="J595" s="32">
        <v>30</v>
      </c>
      <c r="K595" s="32">
        <v>90</v>
      </c>
      <c r="L595">
        <v>0</v>
      </c>
      <c r="N595">
        <v>0</v>
      </c>
      <c r="S595">
        <v>60</v>
      </c>
      <c r="U595">
        <v>0.75</v>
      </c>
      <c r="V595">
        <v>0.2</v>
      </c>
      <c r="W595">
        <v>3.75</v>
      </c>
      <c r="X595">
        <v>1</v>
      </c>
      <c r="Y595">
        <v>2.75</v>
      </c>
      <c r="Z595">
        <v>60.5</v>
      </c>
      <c r="AA595">
        <v>5.5</v>
      </c>
      <c r="AB595">
        <v>0.53</v>
      </c>
      <c r="AC595">
        <v>3.8079999999999998</v>
      </c>
      <c r="AK595" t="s">
        <v>98</v>
      </c>
      <c r="AM595" t="s">
        <v>98</v>
      </c>
      <c r="AN595" t="s">
        <v>98</v>
      </c>
      <c r="AO595" t="s">
        <v>98</v>
      </c>
      <c r="AP595" t="s">
        <v>99</v>
      </c>
      <c r="AQ595" t="s">
        <v>102</v>
      </c>
      <c r="AV595" t="s">
        <v>98</v>
      </c>
      <c r="AX595" t="s">
        <v>249</v>
      </c>
      <c r="BF595" t="s">
        <v>1902</v>
      </c>
      <c r="BG595" t="s">
        <v>98</v>
      </c>
      <c r="BH595" t="s">
        <v>98</v>
      </c>
      <c r="BI595" t="s">
        <v>98</v>
      </c>
      <c r="BK595" t="s">
        <v>138</v>
      </c>
      <c r="CA595" t="s">
        <v>1808</v>
      </c>
      <c r="CB595" t="s">
        <v>249</v>
      </c>
      <c r="CL595" t="s">
        <v>98</v>
      </c>
      <c r="CM595" t="s">
        <v>98</v>
      </c>
      <c r="CO595" s="1">
        <v>40841</v>
      </c>
      <c r="CP595" s="1">
        <v>43595</v>
      </c>
    </row>
    <row r="596" spans="1:94" x14ac:dyDescent="0.25">
      <c r="A596" s="4" t="s">
        <v>1903</v>
      </c>
      <c r="B596" t="str">
        <f xml:space="preserve"> "" &amp; 706411039171</f>
        <v>706411039171</v>
      </c>
      <c r="C596" t="s">
        <v>786</v>
      </c>
      <c r="D596" t="s">
        <v>1904</v>
      </c>
      <c r="F596" t="s">
        <v>135</v>
      </c>
      <c r="G596">
        <v>1</v>
      </c>
      <c r="H596">
        <v>1</v>
      </c>
      <c r="I596" t="s">
        <v>97</v>
      </c>
      <c r="J596" s="32">
        <v>30</v>
      </c>
      <c r="K596" s="32">
        <v>90</v>
      </c>
      <c r="L596">
        <v>0</v>
      </c>
      <c r="N596">
        <v>0</v>
      </c>
      <c r="S596">
        <v>60</v>
      </c>
      <c r="U596">
        <v>0.75</v>
      </c>
      <c r="V596">
        <v>0.2</v>
      </c>
      <c r="W596">
        <v>3.75</v>
      </c>
      <c r="X596">
        <v>1</v>
      </c>
      <c r="Y596">
        <v>2.75</v>
      </c>
      <c r="Z596">
        <v>60.5</v>
      </c>
      <c r="AA596">
        <v>5.5</v>
      </c>
      <c r="AB596">
        <v>0.53</v>
      </c>
      <c r="AC596">
        <v>3.8079999999999998</v>
      </c>
      <c r="AK596" t="s">
        <v>98</v>
      </c>
      <c r="AM596" t="s">
        <v>98</v>
      </c>
      <c r="AN596" t="s">
        <v>98</v>
      </c>
      <c r="AO596" t="s">
        <v>98</v>
      </c>
      <c r="AP596" t="s">
        <v>99</v>
      </c>
      <c r="AQ596" t="s">
        <v>102</v>
      </c>
      <c r="AV596" t="s">
        <v>98</v>
      </c>
      <c r="AX596" t="s">
        <v>253</v>
      </c>
      <c r="BF596" t="s">
        <v>1905</v>
      </c>
      <c r="BG596" t="s">
        <v>98</v>
      </c>
      <c r="BH596" t="s">
        <v>98</v>
      </c>
      <c r="BI596" t="s">
        <v>98</v>
      </c>
      <c r="BK596" t="s">
        <v>138</v>
      </c>
      <c r="CA596" t="s">
        <v>1808</v>
      </c>
      <c r="CB596" t="s">
        <v>253</v>
      </c>
      <c r="CL596" t="s">
        <v>98</v>
      </c>
      <c r="CM596" t="s">
        <v>98</v>
      </c>
      <c r="CO596" s="1">
        <v>40841</v>
      </c>
      <c r="CP596" s="1">
        <v>43595</v>
      </c>
    </row>
    <row r="597" spans="1:94" x14ac:dyDescent="0.25">
      <c r="A597" s="4" t="s">
        <v>1906</v>
      </c>
      <c r="B597" t="str">
        <f xml:space="preserve"> "" &amp; 706411041624</f>
        <v>706411041624</v>
      </c>
      <c r="C597" t="s">
        <v>786</v>
      </c>
      <c r="D597" t="s">
        <v>1907</v>
      </c>
      <c r="F597" t="s">
        <v>135</v>
      </c>
      <c r="G597">
        <v>1</v>
      </c>
      <c r="H597">
        <v>1</v>
      </c>
      <c r="I597" t="s">
        <v>97</v>
      </c>
      <c r="J597" s="32">
        <v>30</v>
      </c>
      <c r="K597" s="32">
        <v>90</v>
      </c>
      <c r="L597">
        <v>0</v>
      </c>
      <c r="N597">
        <v>0</v>
      </c>
      <c r="S597">
        <v>60</v>
      </c>
      <c r="U597">
        <v>0.75</v>
      </c>
      <c r="V597">
        <v>0.2</v>
      </c>
      <c r="W597">
        <v>3.75</v>
      </c>
      <c r="X597">
        <v>1</v>
      </c>
      <c r="Y597">
        <v>2.75</v>
      </c>
      <c r="Z597">
        <v>60.5</v>
      </c>
      <c r="AA597">
        <v>5.5</v>
      </c>
      <c r="AB597">
        <v>0.53</v>
      </c>
      <c r="AC597">
        <v>3.8079999999999998</v>
      </c>
      <c r="AK597" t="s">
        <v>98</v>
      </c>
      <c r="AM597" t="s">
        <v>98</v>
      </c>
      <c r="AN597" t="s">
        <v>98</v>
      </c>
      <c r="AO597" t="s">
        <v>98</v>
      </c>
      <c r="AP597" t="s">
        <v>99</v>
      </c>
      <c r="AQ597" t="s">
        <v>102</v>
      </c>
      <c r="AV597" t="s">
        <v>98</v>
      </c>
      <c r="AX597" t="s">
        <v>257</v>
      </c>
      <c r="BF597" t="s">
        <v>1908</v>
      </c>
      <c r="BG597" t="s">
        <v>98</v>
      </c>
      <c r="BH597" t="s">
        <v>98</v>
      </c>
      <c r="BI597" t="s">
        <v>98</v>
      </c>
      <c r="BK597" t="s">
        <v>138</v>
      </c>
      <c r="CA597" t="s">
        <v>1808</v>
      </c>
      <c r="CB597" t="s">
        <v>257</v>
      </c>
      <c r="CL597" t="s">
        <v>98</v>
      </c>
      <c r="CM597" t="s">
        <v>98</v>
      </c>
      <c r="CO597" s="1">
        <v>40841</v>
      </c>
      <c r="CP597" s="1">
        <v>43595</v>
      </c>
    </row>
    <row r="598" spans="1:94" x14ac:dyDescent="0.25">
      <c r="A598" s="4" t="s">
        <v>1909</v>
      </c>
      <c r="B598" t="str">
        <f xml:space="preserve"> "" &amp; 706411003486</f>
        <v>706411003486</v>
      </c>
      <c r="C598" t="s">
        <v>786</v>
      </c>
      <c r="D598" t="s">
        <v>1910</v>
      </c>
      <c r="F598" t="s">
        <v>135</v>
      </c>
      <c r="G598">
        <v>1</v>
      </c>
      <c r="H598">
        <v>1</v>
      </c>
      <c r="I598" t="s">
        <v>97</v>
      </c>
      <c r="J598" s="32">
        <v>30</v>
      </c>
      <c r="K598" s="32">
        <v>90</v>
      </c>
      <c r="L598">
        <v>0</v>
      </c>
      <c r="N598">
        <v>0</v>
      </c>
      <c r="S598">
        <v>60</v>
      </c>
      <c r="U598">
        <v>0.75</v>
      </c>
      <c r="V598">
        <v>0.2</v>
      </c>
      <c r="W598">
        <v>3.75</v>
      </c>
      <c r="X598">
        <v>1</v>
      </c>
      <c r="Y598">
        <v>2.75</v>
      </c>
      <c r="Z598">
        <v>60.5</v>
      </c>
      <c r="AA598">
        <v>5.5</v>
      </c>
      <c r="AB598">
        <v>0.53</v>
      </c>
      <c r="AC598">
        <v>3.8079999999999998</v>
      </c>
      <c r="AK598" t="s">
        <v>98</v>
      </c>
      <c r="AM598" t="s">
        <v>98</v>
      </c>
      <c r="AN598" t="s">
        <v>98</v>
      </c>
      <c r="AO598" t="s">
        <v>98</v>
      </c>
      <c r="AP598" t="s">
        <v>99</v>
      </c>
      <c r="AQ598" t="s">
        <v>102</v>
      </c>
      <c r="AV598" t="s">
        <v>98</v>
      </c>
      <c r="AX598" t="s">
        <v>261</v>
      </c>
      <c r="BF598" t="s">
        <v>1911</v>
      </c>
      <c r="BG598" t="s">
        <v>98</v>
      </c>
      <c r="BH598" t="s">
        <v>98</v>
      </c>
      <c r="BI598" t="s">
        <v>98</v>
      </c>
      <c r="BK598" t="s">
        <v>138</v>
      </c>
      <c r="CA598" t="s">
        <v>1808</v>
      </c>
      <c r="CB598" t="s">
        <v>261</v>
      </c>
      <c r="CL598" t="s">
        <v>98</v>
      </c>
      <c r="CM598" t="s">
        <v>98</v>
      </c>
      <c r="CO598" s="1">
        <v>39728</v>
      </c>
      <c r="CP598" s="1">
        <v>43595</v>
      </c>
    </row>
    <row r="599" spans="1:94" x14ac:dyDescent="0.25">
      <c r="A599" s="4" t="s">
        <v>1912</v>
      </c>
      <c r="B599" t="str">
        <f xml:space="preserve"> "" &amp; 706411035920</f>
        <v>706411035920</v>
      </c>
      <c r="C599" t="s">
        <v>786</v>
      </c>
      <c r="D599" t="s">
        <v>1913</v>
      </c>
      <c r="F599" t="s">
        <v>135</v>
      </c>
      <c r="G599">
        <v>1</v>
      </c>
      <c r="H599">
        <v>1</v>
      </c>
      <c r="I599" t="s">
        <v>97</v>
      </c>
      <c r="J599" s="32">
        <v>30</v>
      </c>
      <c r="K599" s="32">
        <v>90</v>
      </c>
      <c r="L599">
        <v>0</v>
      </c>
      <c r="N599">
        <v>0</v>
      </c>
      <c r="S599">
        <v>60</v>
      </c>
      <c r="U599">
        <v>0.75</v>
      </c>
      <c r="V599">
        <v>0.2</v>
      </c>
      <c r="W599">
        <v>3.75</v>
      </c>
      <c r="X599">
        <v>1</v>
      </c>
      <c r="Y599">
        <v>2.75</v>
      </c>
      <c r="Z599">
        <v>60.5</v>
      </c>
      <c r="AA599">
        <v>5.5</v>
      </c>
      <c r="AB599">
        <v>0.53</v>
      </c>
      <c r="AC599">
        <v>3.8079999999999998</v>
      </c>
      <c r="AK599" t="s">
        <v>98</v>
      </c>
      <c r="AM599" t="s">
        <v>98</v>
      </c>
      <c r="AN599" t="s">
        <v>98</v>
      </c>
      <c r="AO599" t="s">
        <v>98</v>
      </c>
      <c r="AP599" t="s">
        <v>99</v>
      </c>
      <c r="AQ599" t="s">
        <v>102</v>
      </c>
      <c r="AV599" t="s">
        <v>98</v>
      </c>
      <c r="AX599" t="s">
        <v>265</v>
      </c>
      <c r="BF599" t="s">
        <v>1914</v>
      </c>
      <c r="BG599" t="s">
        <v>98</v>
      </c>
      <c r="BH599" t="s">
        <v>98</v>
      </c>
      <c r="BI599" t="s">
        <v>98</v>
      </c>
      <c r="BK599" t="s">
        <v>138</v>
      </c>
      <c r="CA599" t="s">
        <v>1808</v>
      </c>
      <c r="CB599" t="s">
        <v>265</v>
      </c>
      <c r="CL599" t="s">
        <v>98</v>
      </c>
      <c r="CM599" t="s">
        <v>98</v>
      </c>
      <c r="CO599" s="1">
        <v>39728</v>
      </c>
      <c r="CP599" s="1">
        <v>43595</v>
      </c>
    </row>
    <row r="600" spans="1:94" x14ac:dyDescent="0.25">
      <c r="A600" s="4" t="s">
        <v>1915</v>
      </c>
      <c r="B600" t="str">
        <f xml:space="preserve"> "" &amp; 706411025136</f>
        <v>706411025136</v>
      </c>
      <c r="C600" t="s">
        <v>786</v>
      </c>
      <c r="D600" t="s">
        <v>4432</v>
      </c>
      <c r="F600" t="s">
        <v>135</v>
      </c>
      <c r="G600">
        <v>1</v>
      </c>
      <c r="H600">
        <v>1</v>
      </c>
      <c r="I600" t="s">
        <v>97</v>
      </c>
      <c r="J600" s="32">
        <v>30</v>
      </c>
      <c r="K600" s="32">
        <v>90</v>
      </c>
      <c r="L600">
        <v>0</v>
      </c>
      <c r="N600">
        <v>0</v>
      </c>
      <c r="S600">
        <v>60</v>
      </c>
      <c r="U600">
        <v>0.75</v>
      </c>
      <c r="V600">
        <v>0.2</v>
      </c>
      <c r="W600">
        <v>3.75</v>
      </c>
      <c r="X600">
        <v>1</v>
      </c>
      <c r="Y600">
        <v>2.75</v>
      </c>
      <c r="Z600">
        <v>60.5</v>
      </c>
      <c r="AA600">
        <v>5.5</v>
      </c>
      <c r="AB600">
        <v>0.53</v>
      </c>
      <c r="AC600">
        <v>3.8079999999999998</v>
      </c>
      <c r="AK600" t="s">
        <v>98</v>
      </c>
      <c r="AM600" t="s">
        <v>98</v>
      </c>
      <c r="AN600" t="s">
        <v>98</v>
      </c>
      <c r="AO600" t="s">
        <v>98</v>
      </c>
      <c r="AP600" t="s">
        <v>99</v>
      </c>
      <c r="AQ600" t="s">
        <v>102</v>
      </c>
      <c r="AV600" t="s">
        <v>98</v>
      </c>
      <c r="AX600" t="s">
        <v>426</v>
      </c>
      <c r="BF600" t="s">
        <v>1916</v>
      </c>
      <c r="BG600" t="s">
        <v>98</v>
      </c>
      <c r="BH600" t="s">
        <v>98</v>
      </c>
      <c r="BI600" t="s">
        <v>98</v>
      </c>
      <c r="BK600" t="s">
        <v>138</v>
      </c>
      <c r="CA600" t="s">
        <v>1808</v>
      </c>
      <c r="CB600" t="s">
        <v>426</v>
      </c>
      <c r="CL600" t="s">
        <v>98</v>
      </c>
      <c r="CM600" t="s">
        <v>98</v>
      </c>
      <c r="CO600" s="1">
        <v>39728</v>
      </c>
      <c r="CP600" s="1">
        <v>43595</v>
      </c>
    </row>
    <row r="601" spans="1:94" x14ac:dyDescent="0.25">
      <c r="A601" s="4" t="s">
        <v>1917</v>
      </c>
      <c r="B601" t="str">
        <f xml:space="preserve"> "" &amp; 706411044670</f>
        <v>706411044670</v>
      </c>
      <c r="C601" t="s">
        <v>786</v>
      </c>
      <c r="D601" t="s">
        <v>1918</v>
      </c>
      <c r="F601" t="s">
        <v>135</v>
      </c>
      <c r="G601">
        <v>1</v>
      </c>
      <c r="H601">
        <v>1</v>
      </c>
      <c r="I601" t="s">
        <v>97</v>
      </c>
      <c r="J601" s="32">
        <v>30</v>
      </c>
      <c r="K601" s="32">
        <v>90</v>
      </c>
      <c r="L601">
        <v>0</v>
      </c>
      <c r="N601">
        <v>0</v>
      </c>
      <c r="S601">
        <v>60</v>
      </c>
      <c r="U601">
        <v>0.75</v>
      </c>
      <c r="V601">
        <v>0.2</v>
      </c>
      <c r="W601">
        <v>3.75</v>
      </c>
      <c r="X601">
        <v>1</v>
      </c>
      <c r="Y601">
        <v>2.75</v>
      </c>
      <c r="Z601">
        <v>60.5</v>
      </c>
      <c r="AA601">
        <v>5.5</v>
      </c>
      <c r="AB601">
        <v>0.53</v>
      </c>
      <c r="AC601">
        <v>3.8079999999999998</v>
      </c>
      <c r="AK601" t="s">
        <v>98</v>
      </c>
      <c r="AM601" t="s">
        <v>98</v>
      </c>
      <c r="AN601" t="s">
        <v>98</v>
      </c>
      <c r="AO601" t="s">
        <v>98</v>
      </c>
      <c r="AP601" t="s">
        <v>99</v>
      </c>
      <c r="AQ601" t="s">
        <v>102</v>
      </c>
      <c r="AV601" t="s">
        <v>98</v>
      </c>
      <c r="AX601" t="s">
        <v>430</v>
      </c>
      <c r="BF601" t="s">
        <v>1919</v>
      </c>
      <c r="BG601" t="s">
        <v>98</v>
      </c>
      <c r="BH601" t="s">
        <v>98</v>
      </c>
      <c r="BI601" t="s">
        <v>98</v>
      </c>
      <c r="CB601" t="s">
        <v>430</v>
      </c>
      <c r="CL601" t="s">
        <v>98</v>
      </c>
      <c r="CM601" t="s">
        <v>98</v>
      </c>
      <c r="CP601" s="1">
        <v>43595</v>
      </c>
    </row>
    <row r="602" spans="1:94" x14ac:dyDescent="0.25">
      <c r="A602" s="4" t="s">
        <v>1920</v>
      </c>
      <c r="B602" t="str">
        <f xml:space="preserve"> "" &amp; 706411034923</f>
        <v>706411034923</v>
      </c>
      <c r="C602" t="s">
        <v>786</v>
      </c>
      <c r="D602" t="s">
        <v>1921</v>
      </c>
      <c r="F602" t="s">
        <v>135</v>
      </c>
      <c r="G602">
        <v>1</v>
      </c>
      <c r="H602">
        <v>1</v>
      </c>
      <c r="I602" t="s">
        <v>97</v>
      </c>
      <c r="J602" s="32">
        <v>30</v>
      </c>
      <c r="K602" s="32">
        <v>90</v>
      </c>
      <c r="L602">
        <v>0</v>
      </c>
      <c r="N602">
        <v>0</v>
      </c>
      <c r="S602">
        <v>60</v>
      </c>
      <c r="U602">
        <v>0.75</v>
      </c>
      <c r="V602">
        <v>0.2</v>
      </c>
      <c r="W602">
        <v>3.75</v>
      </c>
      <c r="X602">
        <v>1</v>
      </c>
      <c r="Y602">
        <v>2.75</v>
      </c>
      <c r="Z602">
        <v>60.5</v>
      </c>
      <c r="AA602">
        <v>5.5</v>
      </c>
      <c r="AB602">
        <v>0.53</v>
      </c>
      <c r="AC602">
        <v>3.8079999999999998</v>
      </c>
      <c r="AK602" t="s">
        <v>98</v>
      </c>
      <c r="AM602" t="s">
        <v>98</v>
      </c>
      <c r="AN602" t="s">
        <v>98</v>
      </c>
      <c r="AO602" t="s">
        <v>98</v>
      </c>
      <c r="AP602" t="s">
        <v>99</v>
      </c>
      <c r="AQ602" t="s">
        <v>102</v>
      </c>
      <c r="AV602" t="s">
        <v>98</v>
      </c>
      <c r="AX602" t="s">
        <v>1149</v>
      </c>
      <c r="BF602" t="s">
        <v>1922</v>
      </c>
      <c r="BG602" t="s">
        <v>98</v>
      </c>
      <c r="BH602" t="s">
        <v>98</v>
      </c>
      <c r="BI602" t="s">
        <v>98</v>
      </c>
      <c r="BK602" t="s">
        <v>138</v>
      </c>
      <c r="CA602" t="s">
        <v>1808</v>
      </c>
      <c r="CB602" t="s">
        <v>1149</v>
      </c>
      <c r="CL602" t="s">
        <v>98</v>
      </c>
      <c r="CM602" t="s">
        <v>98</v>
      </c>
      <c r="CO602" s="1">
        <v>39728</v>
      </c>
      <c r="CP602" s="1">
        <v>43595</v>
      </c>
    </row>
    <row r="603" spans="1:94" x14ac:dyDescent="0.25">
      <c r="A603" s="4" t="s">
        <v>1923</v>
      </c>
      <c r="B603" t="str">
        <f xml:space="preserve"> "" &amp; 706411043345</f>
        <v>706411043345</v>
      </c>
      <c r="C603" t="s">
        <v>786</v>
      </c>
      <c r="D603" t="s">
        <v>1924</v>
      </c>
      <c r="F603" t="s">
        <v>135</v>
      </c>
      <c r="G603">
        <v>1</v>
      </c>
      <c r="H603">
        <v>1</v>
      </c>
      <c r="I603" t="s">
        <v>97</v>
      </c>
      <c r="J603" s="32">
        <v>30</v>
      </c>
      <c r="K603" s="32">
        <v>90</v>
      </c>
      <c r="L603">
        <v>0</v>
      </c>
      <c r="N603">
        <v>0</v>
      </c>
      <c r="S603">
        <v>60</v>
      </c>
      <c r="U603">
        <v>0.75</v>
      </c>
      <c r="V603">
        <v>0.2</v>
      </c>
      <c r="W603">
        <v>3.75</v>
      </c>
      <c r="X603">
        <v>1</v>
      </c>
      <c r="Y603">
        <v>2.75</v>
      </c>
      <c r="Z603">
        <v>60.5</v>
      </c>
      <c r="AA603">
        <v>5.5</v>
      </c>
      <c r="AB603">
        <v>0.53</v>
      </c>
      <c r="AC603">
        <v>3.8079999999999998</v>
      </c>
      <c r="AK603" t="s">
        <v>98</v>
      </c>
      <c r="AM603" t="s">
        <v>98</v>
      </c>
      <c r="AN603" t="s">
        <v>98</v>
      </c>
      <c r="AO603" t="s">
        <v>98</v>
      </c>
      <c r="AP603" t="s">
        <v>99</v>
      </c>
      <c r="AQ603" t="s">
        <v>102</v>
      </c>
      <c r="AV603" t="s">
        <v>98</v>
      </c>
      <c r="AX603" t="s">
        <v>269</v>
      </c>
      <c r="BF603" t="s">
        <v>1925</v>
      </c>
      <c r="BG603" t="s">
        <v>98</v>
      </c>
      <c r="BH603" t="s">
        <v>98</v>
      </c>
      <c r="BI603" t="s">
        <v>98</v>
      </c>
      <c r="CB603" t="s">
        <v>269</v>
      </c>
      <c r="CL603" t="s">
        <v>98</v>
      </c>
      <c r="CM603" t="s">
        <v>98</v>
      </c>
      <c r="CP603" s="1">
        <v>43595</v>
      </c>
    </row>
    <row r="604" spans="1:94" x14ac:dyDescent="0.25">
      <c r="A604" s="4" t="s">
        <v>1926</v>
      </c>
      <c r="B604" t="str">
        <f xml:space="preserve"> "" &amp; 706411041914</f>
        <v>706411041914</v>
      </c>
      <c r="C604" t="s">
        <v>786</v>
      </c>
      <c r="D604" t="s">
        <v>1927</v>
      </c>
      <c r="F604" t="s">
        <v>135</v>
      </c>
      <c r="G604">
        <v>1</v>
      </c>
      <c r="H604">
        <v>1</v>
      </c>
      <c r="I604" t="s">
        <v>97</v>
      </c>
      <c r="J604" s="32">
        <v>30</v>
      </c>
      <c r="K604" s="32">
        <v>90</v>
      </c>
      <c r="L604">
        <v>0</v>
      </c>
      <c r="N604">
        <v>0</v>
      </c>
      <c r="S604">
        <v>60</v>
      </c>
      <c r="U604">
        <v>0.75</v>
      </c>
      <c r="V604">
        <v>0.2</v>
      </c>
      <c r="W604">
        <v>3.75</v>
      </c>
      <c r="X604">
        <v>1</v>
      </c>
      <c r="Y604">
        <v>2.75</v>
      </c>
      <c r="Z604">
        <v>60.5</v>
      </c>
      <c r="AA604">
        <v>5.5</v>
      </c>
      <c r="AB604">
        <v>0.53</v>
      </c>
      <c r="AC604">
        <v>3.8079999999999998</v>
      </c>
      <c r="AK604" t="s">
        <v>98</v>
      </c>
      <c r="AM604" t="s">
        <v>98</v>
      </c>
      <c r="AN604" t="s">
        <v>98</v>
      </c>
      <c r="AO604" t="s">
        <v>98</v>
      </c>
      <c r="AP604" t="s">
        <v>99</v>
      </c>
      <c r="AQ604" t="s">
        <v>102</v>
      </c>
      <c r="AV604" t="s">
        <v>98</v>
      </c>
      <c r="AX604" t="s">
        <v>441</v>
      </c>
      <c r="BF604" t="s">
        <v>1928</v>
      </c>
      <c r="BG604" t="s">
        <v>98</v>
      </c>
      <c r="BH604" t="s">
        <v>98</v>
      </c>
      <c r="BI604" t="s">
        <v>98</v>
      </c>
      <c r="CB604" t="s">
        <v>441</v>
      </c>
      <c r="CL604" t="s">
        <v>98</v>
      </c>
      <c r="CM604" t="s">
        <v>98</v>
      </c>
      <c r="CP604" s="1">
        <v>43595</v>
      </c>
    </row>
    <row r="605" spans="1:94" x14ac:dyDescent="0.25">
      <c r="A605" s="4" t="s">
        <v>1929</v>
      </c>
      <c r="B605" t="str">
        <f xml:space="preserve"> "" &amp; 706411029332</f>
        <v>706411029332</v>
      </c>
      <c r="C605" t="s">
        <v>786</v>
      </c>
      <c r="D605" t="s">
        <v>1930</v>
      </c>
      <c r="F605" t="s">
        <v>135</v>
      </c>
      <c r="G605">
        <v>1</v>
      </c>
      <c r="H605">
        <v>1</v>
      </c>
      <c r="I605" t="s">
        <v>97</v>
      </c>
      <c r="J605" s="32">
        <v>30</v>
      </c>
      <c r="K605" s="32">
        <v>90</v>
      </c>
      <c r="L605">
        <v>0</v>
      </c>
      <c r="N605">
        <v>0</v>
      </c>
      <c r="S605">
        <v>60</v>
      </c>
      <c r="U605">
        <v>0.75</v>
      </c>
      <c r="V605">
        <v>0.2</v>
      </c>
      <c r="W605">
        <v>3.75</v>
      </c>
      <c r="X605">
        <v>1</v>
      </c>
      <c r="Y605">
        <v>2.75</v>
      </c>
      <c r="Z605">
        <v>60.5</v>
      </c>
      <c r="AA605">
        <v>5.5</v>
      </c>
      <c r="AB605">
        <v>0.53</v>
      </c>
      <c r="AC605">
        <v>3.8079999999999998</v>
      </c>
      <c r="AK605" t="s">
        <v>98</v>
      </c>
      <c r="AM605" t="s">
        <v>98</v>
      </c>
      <c r="AN605" t="s">
        <v>98</v>
      </c>
      <c r="AO605" t="s">
        <v>98</v>
      </c>
      <c r="AP605" t="s">
        <v>99</v>
      </c>
      <c r="AQ605" t="s">
        <v>102</v>
      </c>
      <c r="AV605" t="s">
        <v>98</v>
      </c>
      <c r="AX605" t="s">
        <v>273</v>
      </c>
      <c r="BF605" t="s">
        <v>1931</v>
      </c>
      <c r="BG605" t="s">
        <v>98</v>
      </c>
      <c r="BH605" t="s">
        <v>98</v>
      </c>
      <c r="BI605" t="s">
        <v>98</v>
      </c>
      <c r="CB605" t="s">
        <v>273</v>
      </c>
      <c r="CL605" t="s">
        <v>98</v>
      </c>
      <c r="CM605" t="s">
        <v>98</v>
      </c>
      <c r="CP605" s="1">
        <v>43595</v>
      </c>
    </row>
    <row r="606" spans="1:94" x14ac:dyDescent="0.25">
      <c r="A606" s="4" t="s">
        <v>1932</v>
      </c>
      <c r="B606" t="str">
        <f xml:space="preserve"> "" &amp; 706411025839</f>
        <v>706411025839</v>
      </c>
      <c r="C606" t="s">
        <v>786</v>
      </c>
      <c r="D606" t="s">
        <v>1933</v>
      </c>
      <c r="F606" t="s">
        <v>135</v>
      </c>
      <c r="G606">
        <v>1</v>
      </c>
      <c r="H606">
        <v>1</v>
      </c>
      <c r="I606" t="s">
        <v>97</v>
      </c>
      <c r="J606" s="32">
        <v>30</v>
      </c>
      <c r="K606" s="32">
        <v>90</v>
      </c>
      <c r="L606">
        <v>0</v>
      </c>
      <c r="N606">
        <v>0</v>
      </c>
      <c r="S606">
        <v>60</v>
      </c>
      <c r="U606">
        <v>0.75</v>
      </c>
      <c r="V606">
        <v>0.2</v>
      </c>
      <c r="W606">
        <v>3.75</v>
      </c>
      <c r="X606">
        <v>1</v>
      </c>
      <c r="Y606">
        <v>2.75</v>
      </c>
      <c r="Z606">
        <v>60.5</v>
      </c>
      <c r="AA606">
        <v>5.5</v>
      </c>
      <c r="AB606">
        <v>0.53</v>
      </c>
      <c r="AC606">
        <v>3.8079999999999998</v>
      </c>
      <c r="AK606" t="s">
        <v>98</v>
      </c>
      <c r="AM606" t="s">
        <v>98</v>
      </c>
      <c r="AN606" t="s">
        <v>98</v>
      </c>
      <c r="AO606" t="s">
        <v>98</v>
      </c>
      <c r="AP606" t="s">
        <v>99</v>
      </c>
      <c r="AQ606" t="s">
        <v>102</v>
      </c>
      <c r="AV606" t="s">
        <v>98</v>
      </c>
      <c r="AX606" t="s">
        <v>277</v>
      </c>
      <c r="BF606" t="s">
        <v>1934</v>
      </c>
      <c r="BG606" t="s">
        <v>98</v>
      </c>
      <c r="BH606" t="s">
        <v>98</v>
      </c>
      <c r="BI606" t="s">
        <v>98</v>
      </c>
      <c r="CB606" t="s">
        <v>277</v>
      </c>
      <c r="CL606" t="s">
        <v>98</v>
      </c>
      <c r="CM606" t="s">
        <v>98</v>
      </c>
      <c r="CP606" s="1">
        <v>43595</v>
      </c>
    </row>
    <row r="607" spans="1:94" x14ac:dyDescent="0.25">
      <c r="A607" s="4" t="s">
        <v>1935</v>
      </c>
      <c r="B607" t="str">
        <f xml:space="preserve"> "" &amp; 706411061479</f>
        <v>706411061479</v>
      </c>
      <c r="C607" t="s">
        <v>786</v>
      </c>
      <c r="D607" t="s">
        <v>1936</v>
      </c>
      <c r="F607" t="s">
        <v>135</v>
      </c>
      <c r="G607">
        <v>1</v>
      </c>
      <c r="H607">
        <v>1</v>
      </c>
      <c r="I607" t="s">
        <v>97</v>
      </c>
      <c r="J607" s="32">
        <v>30</v>
      </c>
      <c r="K607" s="32">
        <v>90</v>
      </c>
      <c r="L607">
        <v>0</v>
      </c>
      <c r="N607">
        <v>0</v>
      </c>
      <c r="S607">
        <v>60</v>
      </c>
      <c r="U607">
        <v>0.75</v>
      </c>
      <c r="V607">
        <v>0.2</v>
      </c>
      <c r="W607">
        <v>3.75</v>
      </c>
      <c r="X607">
        <v>1</v>
      </c>
      <c r="Y607">
        <v>2.75</v>
      </c>
      <c r="Z607">
        <v>60.5</v>
      </c>
      <c r="AA607">
        <v>5.5</v>
      </c>
      <c r="AB607">
        <v>0.53</v>
      </c>
      <c r="AC607">
        <v>3.8079999999999998</v>
      </c>
      <c r="AK607" t="s">
        <v>98</v>
      </c>
      <c r="AM607" t="s">
        <v>98</v>
      </c>
      <c r="AN607" t="s">
        <v>98</v>
      </c>
      <c r="AO607" t="s">
        <v>98</v>
      </c>
      <c r="AP607" t="s">
        <v>99</v>
      </c>
      <c r="AQ607" t="s">
        <v>102</v>
      </c>
      <c r="AV607" t="s">
        <v>98</v>
      </c>
      <c r="BF607" t="s">
        <v>1937</v>
      </c>
      <c r="BG607" t="s">
        <v>98</v>
      </c>
      <c r="BH607" t="s">
        <v>98</v>
      </c>
      <c r="BI607" t="s">
        <v>98</v>
      </c>
      <c r="BK607" t="s">
        <v>138</v>
      </c>
      <c r="CA607" t="s">
        <v>1832</v>
      </c>
      <c r="CL607" t="s">
        <v>98</v>
      </c>
      <c r="CM607" t="s">
        <v>98</v>
      </c>
      <c r="CO607" s="1">
        <v>43388</v>
      </c>
      <c r="CP607" s="1">
        <v>43595</v>
      </c>
    </row>
    <row r="608" spans="1:94" x14ac:dyDescent="0.25">
      <c r="A608" s="4" t="s">
        <v>1938</v>
      </c>
      <c r="B608" t="str">
        <f xml:space="preserve"> "" &amp; 706411020025</f>
        <v>706411020025</v>
      </c>
      <c r="C608" t="s">
        <v>786</v>
      </c>
      <c r="D608" t="s">
        <v>4433</v>
      </c>
      <c r="F608" t="s">
        <v>135</v>
      </c>
      <c r="G608">
        <v>1</v>
      </c>
      <c r="H608">
        <v>1</v>
      </c>
      <c r="I608" t="s">
        <v>97</v>
      </c>
      <c r="J608" s="32">
        <v>30</v>
      </c>
      <c r="K608" s="32">
        <v>90</v>
      </c>
      <c r="L608">
        <v>0</v>
      </c>
      <c r="N608">
        <v>0</v>
      </c>
      <c r="S608">
        <v>60</v>
      </c>
      <c r="U608">
        <v>0.75</v>
      </c>
      <c r="V608">
        <v>0.2</v>
      </c>
      <c r="W608">
        <v>3.75</v>
      </c>
      <c r="X608">
        <v>1</v>
      </c>
      <c r="Y608">
        <v>2.75</v>
      </c>
      <c r="Z608">
        <v>60.5</v>
      </c>
      <c r="AA608">
        <v>5.5</v>
      </c>
      <c r="AB608">
        <v>0.53</v>
      </c>
      <c r="AC608">
        <v>3.8079999999999998</v>
      </c>
      <c r="AK608" t="s">
        <v>98</v>
      </c>
      <c r="AM608" t="s">
        <v>98</v>
      </c>
      <c r="AN608" t="s">
        <v>98</v>
      </c>
      <c r="AO608" t="s">
        <v>98</v>
      </c>
      <c r="AP608" t="s">
        <v>99</v>
      </c>
      <c r="AQ608" t="s">
        <v>102</v>
      </c>
      <c r="AV608" t="s">
        <v>98</v>
      </c>
      <c r="AX608" t="s">
        <v>284</v>
      </c>
      <c r="BF608" t="s">
        <v>1939</v>
      </c>
      <c r="BG608" t="s">
        <v>98</v>
      </c>
      <c r="BH608" t="s">
        <v>98</v>
      </c>
      <c r="BI608" t="s">
        <v>98</v>
      </c>
      <c r="CB608" t="s">
        <v>284</v>
      </c>
      <c r="CL608" t="s">
        <v>98</v>
      </c>
      <c r="CM608" t="s">
        <v>98</v>
      </c>
      <c r="CP608" s="1">
        <v>43595</v>
      </c>
    </row>
    <row r="609" spans="1:94" x14ac:dyDescent="0.25">
      <c r="A609" s="4" t="s">
        <v>1940</v>
      </c>
      <c r="B609" t="str">
        <f xml:space="preserve"> "" &amp; 706411062438</f>
        <v>706411062438</v>
      </c>
      <c r="C609" t="s">
        <v>786</v>
      </c>
      <c r="D609" t="s">
        <v>1941</v>
      </c>
      <c r="F609" t="s">
        <v>135</v>
      </c>
      <c r="G609">
        <v>1</v>
      </c>
      <c r="H609">
        <v>1</v>
      </c>
      <c r="I609" t="s">
        <v>97</v>
      </c>
      <c r="J609" s="32">
        <v>30</v>
      </c>
      <c r="K609" s="32">
        <v>90</v>
      </c>
      <c r="L609">
        <v>0</v>
      </c>
      <c r="N609">
        <v>0</v>
      </c>
      <c r="S609">
        <v>60</v>
      </c>
      <c r="U609">
        <v>0.75</v>
      </c>
      <c r="V609">
        <v>0.2</v>
      </c>
      <c r="W609">
        <v>3.75</v>
      </c>
      <c r="X609">
        <v>1</v>
      </c>
      <c r="Y609">
        <v>2.75</v>
      </c>
      <c r="Z609">
        <v>60.5</v>
      </c>
      <c r="AA609">
        <v>5.5</v>
      </c>
      <c r="AB609">
        <v>0.53</v>
      </c>
      <c r="AC609">
        <v>3.8079999999999998</v>
      </c>
      <c r="AK609" t="s">
        <v>98</v>
      </c>
      <c r="AM609" t="s">
        <v>98</v>
      </c>
      <c r="AN609" t="s">
        <v>98</v>
      </c>
      <c r="AO609" t="s">
        <v>98</v>
      </c>
      <c r="AP609" t="s">
        <v>99</v>
      </c>
      <c r="AQ609" t="s">
        <v>102</v>
      </c>
      <c r="AV609" t="s">
        <v>98</v>
      </c>
      <c r="AX609" t="s">
        <v>289</v>
      </c>
      <c r="BF609" t="s">
        <v>1942</v>
      </c>
      <c r="BG609" t="s">
        <v>98</v>
      </c>
      <c r="BH609" t="s">
        <v>98</v>
      </c>
      <c r="BI609" t="s">
        <v>98</v>
      </c>
      <c r="BJ609" t="s">
        <v>291</v>
      </c>
      <c r="BK609" t="s">
        <v>292</v>
      </c>
      <c r="CA609" t="s">
        <v>1832</v>
      </c>
      <c r="CB609" t="s">
        <v>289</v>
      </c>
      <c r="CL609" t="s">
        <v>98</v>
      </c>
      <c r="CM609" t="s">
        <v>98</v>
      </c>
      <c r="CN609" t="s">
        <v>349</v>
      </c>
      <c r="CO609" s="1">
        <v>43571</v>
      </c>
      <c r="CP609" s="1">
        <v>43588</v>
      </c>
    </row>
    <row r="610" spans="1:94" x14ac:dyDescent="0.25">
      <c r="A610" s="4" t="s">
        <v>1943</v>
      </c>
      <c r="B610" t="str">
        <f xml:space="preserve"> "" &amp; 706411300905</f>
        <v>706411300905</v>
      </c>
      <c r="C610" t="s">
        <v>786</v>
      </c>
      <c r="D610" t="s">
        <v>4435</v>
      </c>
      <c r="F610" t="s">
        <v>135</v>
      </c>
      <c r="G610">
        <v>1</v>
      </c>
      <c r="H610">
        <v>1</v>
      </c>
      <c r="I610" t="s">
        <v>97</v>
      </c>
      <c r="J610" s="32">
        <v>30</v>
      </c>
      <c r="K610" s="32">
        <v>90</v>
      </c>
      <c r="L610">
        <v>0</v>
      </c>
      <c r="N610">
        <v>0</v>
      </c>
      <c r="S610">
        <v>60</v>
      </c>
      <c r="U610">
        <v>0.75</v>
      </c>
      <c r="V610">
        <v>0.2</v>
      </c>
      <c r="W610">
        <v>3.75</v>
      </c>
      <c r="X610">
        <v>1</v>
      </c>
      <c r="Y610">
        <v>2.75</v>
      </c>
      <c r="Z610">
        <v>60.5</v>
      </c>
      <c r="AA610">
        <v>5.5</v>
      </c>
      <c r="AB610">
        <v>0.53</v>
      </c>
      <c r="AC610">
        <v>3.8079999999999998</v>
      </c>
      <c r="AK610" t="s">
        <v>98</v>
      </c>
      <c r="AM610" t="s">
        <v>98</v>
      </c>
      <c r="AN610" t="s">
        <v>98</v>
      </c>
      <c r="AO610" t="s">
        <v>98</v>
      </c>
      <c r="AP610" t="s">
        <v>99</v>
      </c>
      <c r="AQ610" t="s">
        <v>102</v>
      </c>
      <c r="AV610" t="s">
        <v>98</v>
      </c>
      <c r="AX610" t="s">
        <v>458</v>
      </c>
      <c r="BF610" t="s">
        <v>1944</v>
      </c>
      <c r="BG610" t="s">
        <v>98</v>
      </c>
      <c r="BH610" t="s">
        <v>98</v>
      </c>
      <c r="BI610" t="s">
        <v>98</v>
      </c>
      <c r="CB610" t="s">
        <v>458</v>
      </c>
      <c r="CL610" t="s">
        <v>98</v>
      </c>
      <c r="CM610" t="s">
        <v>98</v>
      </c>
      <c r="CP610" s="1">
        <v>43595</v>
      </c>
    </row>
    <row r="611" spans="1:94" x14ac:dyDescent="0.25">
      <c r="A611" s="4" t="s">
        <v>1945</v>
      </c>
      <c r="B611" t="str">
        <f xml:space="preserve"> "" &amp; 706411043352</f>
        <v>706411043352</v>
      </c>
      <c r="C611" t="s">
        <v>786</v>
      </c>
      <c r="D611" t="s">
        <v>1946</v>
      </c>
      <c r="F611" t="s">
        <v>135</v>
      </c>
      <c r="G611">
        <v>1</v>
      </c>
      <c r="H611">
        <v>1</v>
      </c>
      <c r="I611" t="s">
        <v>97</v>
      </c>
      <c r="J611" s="32">
        <v>30</v>
      </c>
      <c r="K611" s="32">
        <v>90</v>
      </c>
      <c r="L611">
        <v>0</v>
      </c>
      <c r="N611">
        <v>0</v>
      </c>
      <c r="S611">
        <v>60</v>
      </c>
      <c r="U611">
        <v>0.75</v>
      </c>
      <c r="V611">
        <v>0.2</v>
      </c>
      <c r="W611">
        <v>3.75</v>
      </c>
      <c r="X611">
        <v>1</v>
      </c>
      <c r="Y611">
        <v>2.75</v>
      </c>
      <c r="Z611">
        <v>60.5</v>
      </c>
      <c r="AA611">
        <v>5.5</v>
      </c>
      <c r="AB611">
        <v>0.53</v>
      </c>
      <c r="AC611">
        <v>3.8079999999999998</v>
      </c>
      <c r="AK611" t="s">
        <v>98</v>
      </c>
      <c r="AM611" t="s">
        <v>98</v>
      </c>
      <c r="AN611" t="s">
        <v>98</v>
      </c>
      <c r="AO611" t="s">
        <v>98</v>
      </c>
      <c r="AP611" t="s">
        <v>99</v>
      </c>
      <c r="AQ611" t="s">
        <v>102</v>
      </c>
      <c r="AV611" t="s">
        <v>98</v>
      </c>
      <c r="AX611" t="s">
        <v>295</v>
      </c>
      <c r="BF611" t="s">
        <v>1947</v>
      </c>
      <c r="BG611" t="s">
        <v>98</v>
      </c>
      <c r="BH611" t="s">
        <v>98</v>
      </c>
      <c r="BI611" t="s">
        <v>98</v>
      </c>
      <c r="CB611" t="s">
        <v>295</v>
      </c>
      <c r="CL611" t="s">
        <v>98</v>
      </c>
      <c r="CM611" t="s">
        <v>98</v>
      </c>
      <c r="CP611" s="1">
        <v>43595</v>
      </c>
    </row>
    <row r="612" spans="1:94" x14ac:dyDescent="0.25">
      <c r="A612" s="4" t="s">
        <v>1948</v>
      </c>
      <c r="B612" t="str">
        <f xml:space="preserve"> "" &amp; 706411020032</f>
        <v>706411020032</v>
      </c>
      <c r="C612" t="s">
        <v>786</v>
      </c>
      <c r="D612" t="s">
        <v>4434</v>
      </c>
      <c r="F612" t="s">
        <v>135</v>
      </c>
      <c r="G612">
        <v>1</v>
      </c>
      <c r="H612">
        <v>1</v>
      </c>
      <c r="I612" t="s">
        <v>97</v>
      </c>
      <c r="J612" s="32">
        <v>30</v>
      </c>
      <c r="K612" s="32">
        <v>90</v>
      </c>
      <c r="L612">
        <v>0</v>
      </c>
      <c r="N612">
        <v>0</v>
      </c>
      <c r="S612">
        <v>60</v>
      </c>
      <c r="U612">
        <v>0.75</v>
      </c>
      <c r="V612">
        <v>0.2</v>
      </c>
      <c r="W612">
        <v>3.75</v>
      </c>
      <c r="X612">
        <v>1</v>
      </c>
      <c r="Y612">
        <v>2.75</v>
      </c>
      <c r="Z612">
        <v>60.5</v>
      </c>
      <c r="AA612">
        <v>5.5</v>
      </c>
      <c r="AB612">
        <v>0.53</v>
      </c>
      <c r="AC612">
        <v>3.8079999999999998</v>
      </c>
      <c r="AK612" t="s">
        <v>98</v>
      </c>
      <c r="AM612" t="s">
        <v>98</v>
      </c>
      <c r="AN612" t="s">
        <v>98</v>
      </c>
      <c r="AO612" t="s">
        <v>98</v>
      </c>
      <c r="AP612" t="s">
        <v>99</v>
      </c>
      <c r="AQ612" t="s">
        <v>102</v>
      </c>
      <c r="AV612" t="s">
        <v>98</v>
      </c>
      <c r="AX612" t="s">
        <v>298</v>
      </c>
      <c r="BF612" t="s">
        <v>1949</v>
      </c>
      <c r="BG612" t="s">
        <v>98</v>
      </c>
      <c r="BH612" t="s">
        <v>98</v>
      </c>
      <c r="BI612" t="s">
        <v>98</v>
      </c>
      <c r="CB612" t="s">
        <v>298</v>
      </c>
      <c r="CL612" t="s">
        <v>98</v>
      </c>
      <c r="CM612" t="s">
        <v>98</v>
      </c>
      <c r="CP612" s="1">
        <v>43595</v>
      </c>
    </row>
    <row r="613" spans="1:94" x14ac:dyDescent="0.25">
      <c r="A613" s="4" t="s">
        <v>1950</v>
      </c>
      <c r="B613" t="str">
        <f xml:space="preserve"> "" &amp; 706411055188</f>
        <v>706411055188</v>
      </c>
      <c r="C613" t="s">
        <v>786</v>
      </c>
      <c r="D613" t="s">
        <v>1951</v>
      </c>
      <c r="F613" t="s">
        <v>135</v>
      </c>
      <c r="G613">
        <v>1</v>
      </c>
      <c r="H613">
        <v>1</v>
      </c>
      <c r="I613" t="s">
        <v>97</v>
      </c>
      <c r="J613" s="32">
        <v>30</v>
      </c>
      <c r="K613" s="32">
        <v>90</v>
      </c>
      <c r="L613">
        <v>0</v>
      </c>
      <c r="N613">
        <v>0</v>
      </c>
      <c r="S613">
        <v>60</v>
      </c>
      <c r="U613">
        <v>0.75</v>
      </c>
      <c r="V613">
        <v>0.2</v>
      </c>
      <c r="W613">
        <v>3.75</v>
      </c>
      <c r="X613">
        <v>1</v>
      </c>
      <c r="Y613">
        <v>2.75</v>
      </c>
      <c r="Z613">
        <v>60.5</v>
      </c>
      <c r="AA613">
        <v>5.5</v>
      </c>
      <c r="AB613">
        <v>0.53</v>
      </c>
      <c r="AC613">
        <v>38.159999999999997</v>
      </c>
      <c r="AK613" t="s">
        <v>98</v>
      </c>
      <c r="AM613" t="s">
        <v>98</v>
      </c>
      <c r="AN613" t="s">
        <v>98</v>
      </c>
      <c r="AO613" t="s">
        <v>98</v>
      </c>
      <c r="AP613" t="s">
        <v>99</v>
      </c>
      <c r="AQ613" t="s">
        <v>102</v>
      </c>
      <c r="AV613" t="s">
        <v>98</v>
      </c>
      <c r="AX613" t="s">
        <v>956</v>
      </c>
      <c r="AZ613" t="s">
        <v>109</v>
      </c>
      <c r="BF613" t="s">
        <v>1952</v>
      </c>
      <c r="BG613" t="s">
        <v>98</v>
      </c>
      <c r="BH613" t="s">
        <v>98</v>
      </c>
      <c r="BI613" t="s">
        <v>98</v>
      </c>
      <c r="BJ613" t="s">
        <v>291</v>
      </c>
      <c r="BK613" t="s">
        <v>292</v>
      </c>
      <c r="CA613" t="s">
        <v>1832</v>
      </c>
      <c r="CB613" t="s">
        <v>956</v>
      </c>
      <c r="CL613" t="s">
        <v>98</v>
      </c>
      <c r="CM613" t="s">
        <v>98</v>
      </c>
      <c r="CN613" t="s">
        <v>349</v>
      </c>
      <c r="CO613" s="1">
        <v>42599</v>
      </c>
      <c r="CP613" s="1">
        <v>43595</v>
      </c>
    </row>
    <row r="614" spans="1:94" x14ac:dyDescent="0.25">
      <c r="A614" s="4" t="s">
        <v>1953</v>
      </c>
      <c r="B614" t="str">
        <f xml:space="preserve"> "" &amp; 706411020421</f>
        <v>706411020421</v>
      </c>
      <c r="C614" t="s">
        <v>786</v>
      </c>
      <c r="D614" t="s">
        <v>1954</v>
      </c>
      <c r="F614" t="s">
        <v>135</v>
      </c>
      <c r="G614">
        <v>1</v>
      </c>
      <c r="H614">
        <v>1</v>
      </c>
      <c r="I614" t="s">
        <v>97</v>
      </c>
      <c r="J614" s="32">
        <v>30</v>
      </c>
      <c r="K614" s="32">
        <v>90</v>
      </c>
      <c r="L614">
        <v>0</v>
      </c>
      <c r="N614">
        <v>0</v>
      </c>
      <c r="S614">
        <v>60</v>
      </c>
      <c r="U614">
        <v>0.75</v>
      </c>
      <c r="V614">
        <v>0.2</v>
      </c>
      <c r="W614">
        <v>3.75</v>
      </c>
      <c r="X614">
        <v>1</v>
      </c>
      <c r="Y614">
        <v>2.75</v>
      </c>
      <c r="Z614">
        <v>60.5</v>
      </c>
      <c r="AA614">
        <v>5.5</v>
      </c>
      <c r="AB614">
        <v>0.53</v>
      </c>
      <c r="AC614">
        <v>3.8079999999999998</v>
      </c>
      <c r="AK614" t="s">
        <v>98</v>
      </c>
      <c r="AM614" t="s">
        <v>98</v>
      </c>
      <c r="AN614" t="s">
        <v>98</v>
      </c>
      <c r="AO614" t="s">
        <v>98</v>
      </c>
      <c r="AP614" t="s">
        <v>99</v>
      </c>
      <c r="AQ614" t="s">
        <v>102</v>
      </c>
      <c r="AV614" t="s">
        <v>98</v>
      </c>
      <c r="AX614" t="s">
        <v>306</v>
      </c>
      <c r="BF614" t="s">
        <v>1955</v>
      </c>
      <c r="BG614" t="s">
        <v>98</v>
      </c>
      <c r="BH614" t="s">
        <v>98</v>
      </c>
      <c r="BI614" t="s">
        <v>98</v>
      </c>
      <c r="CB614" t="s">
        <v>306</v>
      </c>
      <c r="CL614" t="s">
        <v>98</v>
      </c>
      <c r="CM614" t="s">
        <v>98</v>
      </c>
      <c r="CP614" s="1">
        <v>43595</v>
      </c>
    </row>
    <row r="615" spans="1:94" x14ac:dyDescent="0.25">
      <c r="A615" s="4" t="s">
        <v>1956</v>
      </c>
      <c r="B615" t="str">
        <f xml:space="preserve"> "" &amp; 706411003523</f>
        <v>706411003523</v>
      </c>
      <c r="C615" t="s">
        <v>786</v>
      </c>
      <c r="D615" t="s">
        <v>1957</v>
      </c>
      <c r="F615" t="s">
        <v>135</v>
      </c>
      <c r="G615">
        <v>1</v>
      </c>
      <c r="H615">
        <v>1</v>
      </c>
      <c r="I615" t="s">
        <v>97</v>
      </c>
      <c r="J615" s="32">
        <v>35</v>
      </c>
      <c r="K615" s="32">
        <v>105</v>
      </c>
      <c r="L615">
        <v>0</v>
      </c>
      <c r="N615">
        <v>0</v>
      </c>
      <c r="S615">
        <v>72</v>
      </c>
      <c r="U615">
        <v>0.75</v>
      </c>
      <c r="V615">
        <v>0.2</v>
      </c>
      <c r="W615">
        <v>4.5199999999999996</v>
      </c>
      <c r="X615">
        <v>1</v>
      </c>
      <c r="Y615">
        <v>1.63</v>
      </c>
      <c r="Z615">
        <v>72.5</v>
      </c>
      <c r="AA615">
        <v>5.63</v>
      </c>
      <c r="AB615">
        <v>0.39</v>
      </c>
      <c r="AC615">
        <v>4.734</v>
      </c>
      <c r="AK615" t="s">
        <v>98</v>
      </c>
      <c r="AM615" t="s">
        <v>98</v>
      </c>
      <c r="AN615" t="s">
        <v>98</v>
      </c>
      <c r="AO615" t="s">
        <v>98</v>
      </c>
      <c r="AP615" t="s">
        <v>99</v>
      </c>
      <c r="AQ615" t="s">
        <v>102</v>
      </c>
      <c r="AV615" t="s">
        <v>98</v>
      </c>
      <c r="AX615" t="s">
        <v>302</v>
      </c>
      <c r="BF615" t="s">
        <v>1958</v>
      </c>
      <c r="BG615" t="s">
        <v>98</v>
      </c>
      <c r="BH615" t="s">
        <v>98</v>
      </c>
      <c r="BI615" t="s">
        <v>98</v>
      </c>
      <c r="CB615" t="s">
        <v>302</v>
      </c>
      <c r="CL615" t="s">
        <v>98</v>
      </c>
      <c r="CM615" t="s">
        <v>98</v>
      </c>
      <c r="CP615" s="1">
        <v>43595</v>
      </c>
    </row>
    <row r="616" spans="1:94" x14ac:dyDescent="0.25">
      <c r="A616" s="4" t="s">
        <v>1959</v>
      </c>
      <c r="B616" t="str">
        <f xml:space="preserve"> "" &amp; 706411050657</f>
        <v>706411050657</v>
      </c>
      <c r="C616" t="s">
        <v>786</v>
      </c>
      <c r="D616" t="s">
        <v>1960</v>
      </c>
      <c r="F616" t="s">
        <v>135</v>
      </c>
      <c r="G616">
        <v>1</v>
      </c>
      <c r="H616">
        <v>1</v>
      </c>
      <c r="I616" t="s">
        <v>97</v>
      </c>
      <c r="J616" s="32">
        <v>35</v>
      </c>
      <c r="K616" s="32">
        <v>105</v>
      </c>
      <c r="L616">
        <v>0</v>
      </c>
      <c r="N616">
        <v>0</v>
      </c>
      <c r="S616">
        <v>72</v>
      </c>
      <c r="U616">
        <v>0.75</v>
      </c>
      <c r="V616">
        <v>0.2</v>
      </c>
      <c r="W616">
        <v>4.5199999999999996</v>
      </c>
      <c r="X616">
        <v>1</v>
      </c>
      <c r="Y616">
        <v>1.63</v>
      </c>
      <c r="Z616">
        <v>72.5</v>
      </c>
      <c r="AA616">
        <v>5.63</v>
      </c>
      <c r="AB616">
        <v>0.39</v>
      </c>
      <c r="AC616">
        <v>4.734</v>
      </c>
      <c r="AK616" t="s">
        <v>98</v>
      </c>
      <c r="AM616" t="s">
        <v>98</v>
      </c>
      <c r="AN616" t="s">
        <v>98</v>
      </c>
      <c r="AO616" t="s">
        <v>98</v>
      </c>
      <c r="AP616" t="s">
        <v>99</v>
      </c>
      <c r="AQ616" t="s">
        <v>102</v>
      </c>
      <c r="AV616" t="s">
        <v>98</v>
      </c>
      <c r="AX616" t="s">
        <v>311</v>
      </c>
      <c r="BF616" t="s">
        <v>1961</v>
      </c>
      <c r="BG616" t="s">
        <v>98</v>
      </c>
      <c r="BH616" t="s">
        <v>98</v>
      </c>
      <c r="BI616" t="s">
        <v>98</v>
      </c>
      <c r="CB616" t="s">
        <v>311</v>
      </c>
      <c r="CL616" t="s">
        <v>98</v>
      </c>
      <c r="CM616" t="s">
        <v>98</v>
      </c>
      <c r="CP616" s="1">
        <v>43595</v>
      </c>
    </row>
    <row r="617" spans="1:94" x14ac:dyDescent="0.25">
      <c r="A617" s="4" t="s">
        <v>1962</v>
      </c>
      <c r="B617" t="str">
        <f xml:space="preserve"> "" &amp; 706411020049</f>
        <v>706411020049</v>
      </c>
      <c r="C617" t="s">
        <v>786</v>
      </c>
      <c r="D617" t="s">
        <v>4437</v>
      </c>
      <c r="F617" t="s">
        <v>135</v>
      </c>
      <c r="G617">
        <v>1</v>
      </c>
      <c r="H617">
        <v>1</v>
      </c>
      <c r="I617" t="s">
        <v>97</v>
      </c>
      <c r="J617" s="32">
        <v>35</v>
      </c>
      <c r="K617" s="32">
        <v>105</v>
      </c>
      <c r="L617">
        <v>0</v>
      </c>
      <c r="N617">
        <v>0</v>
      </c>
      <c r="S617">
        <v>72</v>
      </c>
      <c r="U617">
        <v>0.75</v>
      </c>
      <c r="V617">
        <v>0.2</v>
      </c>
      <c r="W617">
        <v>4.5199999999999996</v>
      </c>
      <c r="X617">
        <v>1</v>
      </c>
      <c r="Y617">
        <v>1.63</v>
      </c>
      <c r="Z617">
        <v>72.5</v>
      </c>
      <c r="AA617">
        <v>5.63</v>
      </c>
      <c r="AB617">
        <v>0.39</v>
      </c>
      <c r="AC617">
        <v>4.734</v>
      </c>
      <c r="AK617" t="s">
        <v>98</v>
      </c>
      <c r="AM617" t="s">
        <v>98</v>
      </c>
      <c r="AN617" t="s">
        <v>98</v>
      </c>
      <c r="AO617" t="s">
        <v>98</v>
      </c>
      <c r="AP617" t="s">
        <v>99</v>
      </c>
      <c r="AQ617" t="s">
        <v>102</v>
      </c>
      <c r="AV617" t="s">
        <v>98</v>
      </c>
      <c r="AX617" t="s">
        <v>136</v>
      </c>
      <c r="BF617" t="s">
        <v>1963</v>
      </c>
      <c r="BG617" t="s">
        <v>98</v>
      </c>
      <c r="BH617" t="s">
        <v>98</v>
      </c>
      <c r="BI617" t="s">
        <v>98</v>
      </c>
      <c r="BK617" t="s">
        <v>138</v>
      </c>
      <c r="CA617" t="s">
        <v>1964</v>
      </c>
      <c r="CB617" t="s">
        <v>136</v>
      </c>
      <c r="CL617" t="s">
        <v>98</v>
      </c>
      <c r="CM617" t="s">
        <v>98</v>
      </c>
      <c r="CO617" s="1">
        <v>39728</v>
      </c>
      <c r="CP617" s="1">
        <v>43595</v>
      </c>
    </row>
    <row r="618" spans="1:94" x14ac:dyDescent="0.25">
      <c r="A618" s="4" t="s">
        <v>1965</v>
      </c>
      <c r="B618" t="str">
        <f xml:space="preserve"> "" &amp; 706411020551</f>
        <v>706411020551</v>
      </c>
      <c r="C618" t="s">
        <v>786</v>
      </c>
      <c r="D618" t="s">
        <v>4436</v>
      </c>
      <c r="F618" t="s">
        <v>135</v>
      </c>
      <c r="G618">
        <v>1</v>
      </c>
      <c r="H618">
        <v>1</v>
      </c>
      <c r="I618" t="s">
        <v>97</v>
      </c>
      <c r="J618" s="32">
        <v>35</v>
      </c>
      <c r="K618" s="32">
        <v>105</v>
      </c>
      <c r="L618">
        <v>0</v>
      </c>
      <c r="N618">
        <v>0</v>
      </c>
      <c r="S618">
        <v>72</v>
      </c>
      <c r="U618">
        <v>0.75</v>
      </c>
      <c r="V618">
        <v>0.2</v>
      </c>
      <c r="W618">
        <v>4.5199999999999996</v>
      </c>
      <c r="X618">
        <v>1</v>
      </c>
      <c r="Y618">
        <v>1.63</v>
      </c>
      <c r="Z618">
        <v>72.5</v>
      </c>
      <c r="AA618">
        <v>5.63</v>
      </c>
      <c r="AB618">
        <v>0.39</v>
      </c>
      <c r="AC618">
        <v>4.734</v>
      </c>
      <c r="AK618" t="s">
        <v>98</v>
      </c>
      <c r="AM618" t="s">
        <v>98</v>
      </c>
      <c r="AN618" t="s">
        <v>98</v>
      </c>
      <c r="AO618" t="s">
        <v>98</v>
      </c>
      <c r="AP618" t="s">
        <v>99</v>
      </c>
      <c r="AQ618" t="s">
        <v>102</v>
      </c>
      <c r="AV618" t="s">
        <v>98</v>
      </c>
      <c r="AX618" t="s">
        <v>317</v>
      </c>
      <c r="BF618" t="s">
        <v>1966</v>
      </c>
      <c r="BG618" t="s">
        <v>98</v>
      </c>
      <c r="BH618" t="s">
        <v>98</v>
      </c>
      <c r="BI618" t="s">
        <v>98</v>
      </c>
      <c r="BK618" t="s">
        <v>138</v>
      </c>
      <c r="CA618" t="s">
        <v>1964</v>
      </c>
      <c r="CB618" t="s">
        <v>317</v>
      </c>
      <c r="CL618" t="s">
        <v>98</v>
      </c>
      <c r="CM618" t="s">
        <v>98</v>
      </c>
      <c r="CO618" s="1">
        <v>39728</v>
      </c>
      <c r="CP618" s="1">
        <v>43595</v>
      </c>
    </row>
    <row r="619" spans="1:94" x14ac:dyDescent="0.25">
      <c r="A619" s="4" t="s">
        <v>1967</v>
      </c>
      <c r="B619" t="str">
        <f xml:space="preserve"> "" &amp; 706411035708</f>
        <v>706411035708</v>
      </c>
      <c r="C619" t="s">
        <v>786</v>
      </c>
      <c r="D619" t="s">
        <v>1968</v>
      </c>
      <c r="F619" t="s">
        <v>135</v>
      </c>
      <c r="G619">
        <v>1</v>
      </c>
      <c r="H619">
        <v>1</v>
      </c>
      <c r="I619" t="s">
        <v>97</v>
      </c>
      <c r="J619" s="32">
        <v>35</v>
      </c>
      <c r="K619" s="32">
        <v>105</v>
      </c>
      <c r="L619">
        <v>0</v>
      </c>
      <c r="N619">
        <v>0</v>
      </c>
      <c r="S619">
        <v>72</v>
      </c>
      <c r="U619">
        <v>0.75</v>
      </c>
      <c r="V619">
        <v>0.2</v>
      </c>
      <c r="W619">
        <v>4.5199999999999996</v>
      </c>
      <c r="X619">
        <v>1</v>
      </c>
      <c r="Y619">
        <v>1.63</v>
      </c>
      <c r="Z619">
        <v>72.5</v>
      </c>
      <c r="AA619">
        <v>5.63</v>
      </c>
      <c r="AB619">
        <v>0.39</v>
      </c>
      <c r="AC619">
        <v>4.734</v>
      </c>
      <c r="AK619" t="s">
        <v>98</v>
      </c>
      <c r="AM619" t="s">
        <v>98</v>
      </c>
      <c r="AN619" t="s">
        <v>98</v>
      </c>
      <c r="AO619" t="s">
        <v>98</v>
      </c>
      <c r="AP619" t="s">
        <v>99</v>
      </c>
      <c r="AQ619" t="s">
        <v>102</v>
      </c>
      <c r="AV619" t="s">
        <v>98</v>
      </c>
      <c r="AX619" t="s">
        <v>1040</v>
      </c>
      <c r="BF619" t="s">
        <v>1969</v>
      </c>
      <c r="BG619" t="s">
        <v>98</v>
      </c>
      <c r="BH619" t="s">
        <v>98</v>
      </c>
      <c r="BI619" t="s">
        <v>98</v>
      </c>
      <c r="BK619" t="s">
        <v>138</v>
      </c>
      <c r="CA619" t="s">
        <v>1964</v>
      </c>
      <c r="CL619" t="s">
        <v>98</v>
      </c>
      <c r="CM619" t="s">
        <v>98</v>
      </c>
      <c r="CO619" s="1">
        <v>39728</v>
      </c>
      <c r="CP619" s="1">
        <v>43595</v>
      </c>
    </row>
    <row r="620" spans="1:94" x14ac:dyDescent="0.25">
      <c r="A620" s="4" t="s">
        <v>1970</v>
      </c>
      <c r="B620" t="str">
        <f xml:space="preserve"> "" &amp; 706411025471</f>
        <v>706411025471</v>
      </c>
      <c r="C620" t="s">
        <v>786</v>
      </c>
      <c r="D620" t="s">
        <v>1971</v>
      </c>
      <c r="F620" t="s">
        <v>135</v>
      </c>
      <c r="G620">
        <v>1</v>
      </c>
      <c r="H620">
        <v>1</v>
      </c>
      <c r="I620" t="s">
        <v>97</v>
      </c>
      <c r="J620" s="32">
        <v>35</v>
      </c>
      <c r="K620" s="32">
        <v>105</v>
      </c>
      <c r="L620">
        <v>0</v>
      </c>
      <c r="N620">
        <v>0</v>
      </c>
      <c r="S620">
        <v>72</v>
      </c>
      <c r="U620">
        <v>0.75</v>
      </c>
      <c r="V620">
        <v>0.2</v>
      </c>
      <c r="W620">
        <v>4.5199999999999996</v>
      </c>
      <c r="X620">
        <v>1</v>
      </c>
      <c r="Y620">
        <v>1.63</v>
      </c>
      <c r="Z620">
        <v>72.5</v>
      </c>
      <c r="AA620">
        <v>5.63</v>
      </c>
      <c r="AB620">
        <v>0.39</v>
      </c>
      <c r="AC620">
        <v>4.734</v>
      </c>
      <c r="AK620" t="s">
        <v>98</v>
      </c>
      <c r="AM620" t="s">
        <v>98</v>
      </c>
      <c r="AN620" t="s">
        <v>98</v>
      </c>
      <c r="AO620" t="s">
        <v>98</v>
      </c>
      <c r="AP620" t="s">
        <v>99</v>
      </c>
      <c r="AQ620" t="s">
        <v>102</v>
      </c>
      <c r="AV620" t="s">
        <v>98</v>
      </c>
      <c r="AX620" t="s">
        <v>146</v>
      </c>
      <c r="BF620" t="s">
        <v>1972</v>
      </c>
      <c r="BG620" t="s">
        <v>98</v>
      </c>
      <c r="BH620" t="s">
        <v>98</v>
      </c>
      <c r="BI620" t="s">
        <v>98</v>
      </c>
      <c r="BK620" t="s">
        <v>138</v>
      </c>
      <c r="CA620" t="s">
        <v>1964</v>
      </c>
      <c r="CB620" t="s">
        <v>146</v>
      </c>
      <c r="CL620" t="s">
        <v>98</v>
      </c>
      <c r="CM620" t="s">
        <v>98</v>
      </c>
      <c r="CO620" s="1">
        <v>39728</v>
      </c>
      <c r="CP620" s="1">
        <v>43595</v>
      </c>
    </row>
    <row r="621" spans="1:94" x14ac:dyDescent="0.25">
      <c r="A621" s="4" t="s">
        <v>1973</v>
      </c>
      <c r="B621" t="str">
        <f xml:space="preserve"> "" &amp; 706411003530</f>
        <v>706411003530</v>
      </c>
      <c r="C621" t="s">
        <v>786</v>
      </c>
      <c r="D621" t="s">
        <v>1974</v>
      </c>
      <c r="F621" t="s">
        <v>135</v>
      </c>
      <c r="G621">
        <v>1</v>
      </c>
      <c r="H621">
        <v>1</v>
      </c>
      <c r="I621" t="s">
        <v>97</v>
      </c>
      <c r="J621" s="32">
        <v>35</v>
      </c>
      <c r="K621" s="32">
        <v>105</v>
      </c>
      <c r="L621">
        <v>0</v>
      </c>
      <c r="N621">
        <v>0</v>
      </c>
      <c r="S621">
        <v>72</v>
      </c>
      <c r="U621">
        <v>0.75</v>
      </c>
      <c r="V621">
        <v>0.2</v>
      </c>
      <c r="W621">
        <v>4.5199999999999996</v>
      </c>
      <c r="X621">
        <v>1</v>
      </c>
      <c r="Y621">
        <v>1.63</v>
      </c>
      <c r="Z621">
        <v>72.5</v>
      </c>
      <c r="AA621">
        <v>5.63</v>
      </c>
      <c r="AB621">
        <v>0.39</v>
      </c>
      <c r="AC621">
        <v>4.734</v>
      </c>
      <c r="AK621" t="s">
        <v>98</v>
      </c>
      <c r="AM621" t="s">
        <v>98</v>
      </c>
      <c r="AN621" t="s">
        <v>98</v>
      </c>
      <c r="AO621" t="s">
        <v>98</v>
      </c>
      <c r="AP621" t="s">
        <v>99</v>
      </c>
      <c r="AQ621" t="s">
        <v>102</v>
      </c>
      <c r="AV621" t="s">
        <v>98</v>
      </c>
      <c r="AX621" t="s">
        <v>150</v>
      </c>
      <c r="BF621" t="s">
        <v>1975</v>
      </c>
      <c r="BG621" t="s">
        <v>98</v>
      </c>
      <c r="BH621" t="s">
        <v>98</v>
      </c>
      <c r="BI621" t="s">
        <v>98</v>
      </c>
      <c r="BK621" t="s">
        <v>138</v>
      </c>
      <c r="CA621" t="s">
        <v>1964</v>
      </c>
      <c r="CB621" t="s">
        <v>150</v>
      </c>
      <c r="CL621" t="s">
        <v>98</v>
      </c>
      <c r="CM621" t="s">
        <v>98</v>
      </c>
      <c r="CO621" s="1">
        <v>39728</v>
      </c>
      <c r="CP621" s="1">
        <v>43595</v>
      </c>
    </row>
    <row r="622" spans="1:94" x14ac:dyDescent="0.25">
      <c r="A622" s="4" t="s">
        <v>1976</v>
      </c>
      <c r="B622" t="str">
        <f xml:space="preserve"> "" &amp; 706411056871</f>
        <v>706411056871</v>
      </c>
      <c r="C622" t="s">
        <v>786</v>
      </c>
      <c r="D622" t="s">
        <v>1977</v>
      </c>
      <c r="F622" t="s">
        <v>135</v>
      </c>
      <c r="G622">
        <v>1</v>
      </c>
      <c r="H622">
        <v>1</v>
      </c>
      <c r="I622" t="s">
        <v>97</v>
      </c>
      <c r="J622" s="32">
        <v>35</v>
      </c>
      <c r="K622" s="32">
        <v>105</v>
      </c>
      <c r="L622">
        <v>0</v>
      </c>
      <c r="N622">
        <v>0</v>
      </c>
      <c r="S622">
        <v>72</v>
      </c>
      <c r="U622">
        <v>0.75</v>
      </c>
      <c r="V622">
        <v>0.2</v>
      </c>
      <c r="W622">
        <v>4.5199999999999996</v>
      </c>
      <c r="X622">
        <v>1</v>
      </c>
      <c r="Y622">
        <v>1.63</v>
      </c>
      <c r="Z622">
        <v>72.5</v>
      </c>
      <c r="AA622">
        <v>5.63</v>
      </c>
      <c r="AB622">
        <v>0.39</v>
      </c>
      <c r="AC622">
        <v>4.734</v>
      </c>
      <c r="AK622" t="s">
        <v>98</v>
      </c>
      <c r="AM622" t="s">
        <v>98</v>
      </c>
      <c r="AN622" t="s">
        <v>98</v>
      </c>
      <c r="AO622" t="s">
        <v>98</v>
      </c>
      <c r="AP622" t="s">
        <v>99</v>
      </c>
      <c r="AQ622" t="s">
        <v>102</v>
      </c>
      <c r="AV622" t="s">
        <v>98</v>
      </c>
      <c r="AX622" t="s">
        <v>154</v>
      </c>
      <c r="BF622" t="s">
        <v>1978</v>
      </c>
      <c r="BG622" t="s">
        <v>98</v>
      </c>
      <c r="BH622" t="s">
        <v>98</v>
      </c>
      <c r="BI622" t="s">
        <v>98</v>
      </c>
      <c r="BK622" t="s">
        <v>138</v>
      </c>
      <c r="CB622" t="s">
        <v>154</v>
      </c>
      <c r="CL622" t="s">
        <v>98</v>
      </c>
      <c r="CM622" t="s">
        <v>98</v>
      </c>
      <c r="CN622" t="s">
        <v>349</v>
      </c>
      <c r="CO622" s="1">
        <v>43147</v>
      </c>
      <c r="CP622" s="1">
        <v>43595</v>
      </c>
    </row>
    <row r="623" spans="1:94" x14ac:dyDescent="0.25">
      <c r="A623" s="4" t="s">
        <v>1979</v>
      </c>
      <c r="B623" t="str">
        <f xml:space="preserve"> "" &amp; 706411027482</f>
        <v>706411027482</v>
      </c>
      <c r="C623" t="s">
        <v>786</v>
      </c>
      <c r="D623" t="s">
        <v>1980</v>
      </c>
      <c r="F623" t="s">
        <v>135</v>
      </c>
      <c r="G623">
        <v>1</v>
      </c>
      <c r="H623">
        <v>1</v>
      </c>
      <c r="I623" t="s">
        <v>97</v>
      </c>
      <c r="J623" s="32">
        <v>35</v>
      </c>
      <c r="K623" s="32">
        <v>105</v>
      </c>
      <c r="L623">
        <v>0</v>
      </c>
      <c r="N623">
        <v>0</v>
      </c>
      <c r="S623">
        <v>72</v>
      </c>
      <c r="U623">
        <v>0.75</v>
      </c>
      <c r="V623">
        <v>0.2</v>
      </c>
      <c r="W623">
        <v>4.5199999999999996</v>
      </c>
      <c r="X623">
        <v>1</v>
      </c>
      <c r="Y623">
        <v>1.63</v>
      </c>
      <c r="Z623">
        <v>72.5</v>
      </c>
      <c r="AA623">
        <v>5.63</v>
      </c>
      <c r="AB623">
        <v>0.39</v>
      </c>
      <c r="AC623">
        <v>4.734</v>
      </c>
      <c r="AK623" t="s">
        <v>98</v>
      </c>
      <c r="AM623" t="s">
        <v>98</v>
      </c>
      <c r="AN623" t="s">
        <v>98</v>
      </c>
      <c r="AO623" t="s">
        <v>98</v>
      </c>
      <c r="AP623" t="s">
        <v>99</v>
      </c>
      <c r="AQ623" t="s">
        <v>102</v>
      </c>
      <c r="AV623" t="s">
        <v>98</v>
      </c>
      <c r="AX623" t="s">
        <v>159</v>
      </c>
      <c r="BF623" t="s">
        <v>1981</v>
      </c>
      <c r="BG623" t="s">
        <v>98</v>
      </c>
      <c r="BH623" t="s">
        <v>98</v>
      </c>
      <c r="BI623" t="s">
        <v>98</v>
      </c>
      <c r="BK623" t="s">
        <v>138</v>
      </c>
      <c r="CA623" t="s">
        <v>1964</v>
      </c>
      <c r="CB623" t="s">
        <v>159</v>
      </c>
      <c r="CL623" t="s">
        <v>98</v>
      </c>
      <c r="CM623" t="s">
        <v>98</v>
      </c>
      <c r="CO623" s="1">
        <v>39728</v>
      </c>
      <c r="CP623" s="1">
        <v>43595</v>
      </c>
    </row>
    <row r="624" spans="1:94" x14ac:dyDescent="0.25">
      <c r="A624" s="4" t="s">
        <v>1982</v>
      </c>
      <c r="B624" t="str">
        <f xml:space="preserve"> "" &amp; 706411025624</f>
        <v>706411025624</v>
      </c>
      <c r="C624" t="s">
        <v>786</v>
      </c>
      <c r="D624" t="s">
        <v>1983</v>
      </c>
      <c r="F624" t="s">
        <v>135</v>
      </c>
      <c r="G624">
        <v>1</v>
      </c>
      <c r="H624">
        <v>1</v>
      </c>
      <c r="I624" t="s">
        <v>97</v>
      </c>
      <c r="J624" s="32">
        <v>35</v>
      </c>
      <c r="K624" s="32">
        <v>105</v>
      </c>
      <c r="L624">
        <v>0</v>
      </c>
      <c r="N624">
        <v>0</v>
      </c>
      <c r="S624">
        <v>72</v>
      </c>
      <c r="U624">
        <v>0.75</v>
      </c>
      <c r="V624">
        <v>0.2</v>
      </c>
      <c r="W624">
        <v>4.5199999999999996</v>
      </c>
      <c r="X624">
        <v>1</v>
      </c>
      <c r="Y624">
        <v>1.63</v>
      </c>
      <c r="Z624">
        <v>72.5</v>
      </c>
      <c r="AA624">
        <v>5.63</v>
      </c>
      <c r="AB624">
        <v>0.39</v>
      </c>
      <c r="AC624">
        <v>4.734</v>
      </c>
      <c r="AK624" t="s">
        <v>98</v>
      </c>
      <c r="AM624" t="s">
        <v>98</v>
      </c>
      <c r="AN624" t="s">
        <v>98</v>
      </c>
      <c r="AO624" t="s">
        <v>98</v>
      </c>
      <c r="AP624" t="s">
        <v>99</v>
      </c>
      <c r="AQ624" t="s">
        <v>102</v>
      </c>
      <c r="AV624" t="s">
        <v>98</v>
      </c>
      <c r="AX624" t="s">
        <v>163</v>
      </c>
      <c r="BF624" t="s">
        <v>1984</v>
      </c>
      <c r="BG624" t="s">
        <v>98</v>
      </c>
      <c r="BH624" t="s">
        <v>98</v>
      </c>
      <c r="BI624" t="s">
        <v>98</v>
      </c>
      <c r="BK624" t="s">
        <v>138</v>
      </c>
      <c r="CA624" t="s">
        <v>1964</v>
      </c>
      <c r="CB624" t="s">
        <v>163</v>
      </c>
      <c r="CL624" t="s">
        <v>98</v>
      </c>
      <c r="CM624" t="s">
        <v>98</v>
      </c>
      <c r="CO624" s="1">
        <v>39728</v>
      </c>
      <c r="CP624" s="1">
        <v>43595</v>
      </c>
    </row>
    <row r="625" spans="1:94" x14ac:dyDescent="0.25">
      <c r="A625" s="4" t="s">
        <v>1985</v>
      </c>
      <c r="B625" t="str">
        <f xml:space="preserve"> "" &amp; 706411044618</f>
        <v>706411044618</v>
      </c>
      <c r="C625" t="s">
        <v>786</v>
      </c>
      <c r="D625" t="s">
        <v>1986</v>
      </c>
      <c r="F625" t="s">
        <v>135</v>
      </c>
      <c r="G625">
        <v>1</v>
      </c>
      <c r="H625">
        <v>1</v>
      </c>
      <c r="I625" t="s">
        <v>97</v>
      </c>
      <c r="J625" s="32">
        <v>35</v>
      </c>
      <c r="K625" s="32">
        <v>105</v>
      </c>
      <c r="L625">
        <v>0</v>
      </c>
      <c r="N625">
        <v>0</v>
      </c>
      <c r="S625">
        <v>72</v>
      </c>
      <c r="U625">
        <v>0.75</v>
      </c>
      <c r="V625">
        <v>0.2</v>
      </c>
      <c r="W625">
        <v>4.5199999999999996</v>
      </c>
      <c r="X625">
        <v>1</v>
      </c>
      <c r="Y625">
        <v>1.63</v>
      </c>
      <c r="Z625">
        <v>72.5</v>
      </c>
      <c r="AA625">
        <v>5.63</v>
      </c>
      <c r="AB625">
        <v>0.39</v>
      </c>
      <c r="AC625">
        <v>4.734</v>
      </c>
      <c r="AK625" t="s">
        <v>98</v>
      </c>
      <c r="AM625" t="s">
        <v>98</v>
      </c>
      <c r="AN625" t="s">
        <v>98</v>
      </c>
      <c r="AO625" t="s">
        <v>98</v>
      </c>
      <c r="AP625" t="s">
        <v>99</v>
      </c>
      <c r="AQ625" t="s">
        <v>102</v>
      </c>
      <c r="AV625" t="s">
        <v>98</v>
      </c>
      <c r="AX625" t="s">
        <v>167</v>
      </c>
      <c r="BF625" t="s">
        <v>1987</v>
      </c>
      <c r="BG625" t="s">
        <v>98</v>
      </c>
      <c r="BH625" t="s">
        <v>98</v>
      </c>
      <c r="BI625" t="s">
        <v>98</v>
      </c>
      <c r="BK625" t="s">
        <v>138</v>
      </c>
      <c r="CA625" t="s">
        <v>1964</v>
      </c>
      <c r="CB625" t="s">
        <v>167</v>
      </c>
      <c r="CL625" t="s">
        <v>98</v>
      </c>
      <c r="CM625" t="s">
        <v>98</v>
      </c>
      <c r="CN625" t="s">
        <v>349</v>
      </c>
      <c r="CP625" s="1">
        <v>43595</v>
      </c>
    </row>
    <row r="626" spans="1:94" x14ac:dyDescent="0.25">
      <c r="A626" s="4" t="s">
        <v>1988</v>
      </c>
      <c r="B626" t="str">
        <f xml:space="preserve"> "" &amp; 706411043369</f>
        <v>706411043369</v>
      </c>
      <c r="C626" t="s">
        <v>786</v>
      </c>
      <c r="D626" t="s">
        <v>1989</v>
      </c>
      <c r="F626" t="s">
        <v>135</v>
      </c>
      <c r="G626">
        <v>1</v>
      </c>
      <c r="H626">
        <v>1</v>
      </c>
      <c r="I626" t="s">
        <v>97</v>
      </c>
      <c r="J626" s="32">
        <v>35</v>
      </c>
      <c r="K626" s="32">
        <v>105</v>
      </c>
      <c r="L626">
        <v>0</v>
      </c>
      <c r="N626">
        <v>0</v>
      </c>
      <c r="S626">
        <v>72</v>
      </c>
      <c r="U626">
        <v>0.75</v>
      </c>
      <c r="V626">
        <v>0.2</v>
      </c>
      <c r="W626">
        <v>4.5199999999999996</v>
      </c>
      <c r="X626">
        <v>1</v>
      </c>
      <c r="Y626">
        <v>1.63</v>
      </c>
      <c r="Z626">
        <v>72.5</v>
      </c>
      <c r="AA626">
        <v>5.63</v>
      </c>
      <c r="AB626">
        <v>0.39</v>
      </c>
      <c r="AC626">
        <v>4.734</v>
      </c>
      <c r="AK626" t="s">
        <v>98</v>
      </c>
      <c r="AM626" t="s">
        <v>98</v>
      </c>
      <c r="AN626" t="s">
        <v>98</v>
      </c>
      <c r="AO626" t="s">
        <v>98</v>
      </c>
      <c r="AP626" t="s">
        <v>99</v>
      </c>
      <c r="AQ626" t="s">
        <v>102</v>
      </c>
      <c r="AV626" t="s">
        <v>98</v>
      </c>
      <c r="AX626" t="s">
        <v>171</v>
      </c>
      <c r="BF626" t="s">
        <v>1990</v>
      </c>
      <c r="BG626" t="s">
        <v>98</v>
      </c>
      <c r="BH626" t="s">
        <v>98</v>
      </c>
      <c r="BI626" t="s">
        <v>98</v>
      </c>
      <c r="CB626" t="s">
        <v>171</v>
      </c>
      <c r="CL626" t="s">
        <v>98</v>
      </c>
      <c r="CM626" t="s">
        <v>98</v>
      </c>
      <c r="CP626" s="1">
        <v>43595</v>
      </c>
    </row>
    <row r="627" spans="1:94" x14ac:dyDescent="0.25">
      <c r="A627" s="4" t="s">
        <v>1991</v>
      </c>
      <c r="B627" t="str">
        <f xml:space="preserve"> "" &amp; 706411035791</f>
        <v>706411035791</v>
      </c>
      <c r="C627" t="s">
        <v>786</v>
      </c>
      <c r="D627" t="s">
        <v>1992</v>
      </c>
      <c r="F627" t="s">
        <v>135</v>
      </c>
      <c r="G627">
        <v>1</v>
      </c>
      <c r="H627">
        <v>1</v>
      </c>
      <c r="I627" t="s">
        <v>97</v>
      </c>
      <c r="J627" s="32">
        <v>35</v>
      </c>
      <c r="K627" s="32">
        <v>105</v>
      </c>
      <c r="L627">
        <v>0</v>
      </c>
      <c r="N627">
        <v>0</v>
      </c>
      <c r="S627">
        <v>72</v>
      </c>
      <c r="U627">
        <v>0.75</v>
      </c>
      <c r="V627">
        <v>0.2</v>
      </c>
      <c r="W627">
        <v>4.5199999999999996</v>
      </c>
      <c r="X627">
        <v>1</v>
      </c>
      <c r="Y627">
        <v>1.63</v>
      </c>
      <c r="Z627">
        <v>72.5</v>
      </c>
      <c r="AA627">
        <v>5.63</v>
      </c>
      <c r="AB627">
        <v>0.39</v>
      </c>
      <c r="AC627">
        <v>4.734</v>
      </c>
      <c r="AK627" t="s">
        <v>98</v>
      </c>
      <c r="AM627" t="s">
        <v>98</v>
      </c>
      <c r="AN627" t="s">
        <v>98</v>
      </c>
      <c r="AO627" t="s">
        <v>98</v>
      </c>
      <c r="AP627" t="s">
        <v>99</v>
      </c>
      <c r="AQ627" t="s">
        <v>102</v>
      </c>
      <c r="AV627" t="s">
        <v>98</v>
      </c>
      <c r="AX627" t="s">
        <v>175</v>
      </c>
      <c r="BF627" t="s">
        <v>1993</v>
      </c>
      <c r="BG627" t="s">
        <v>98</v>
      </c>
      <c r="BH627" t="s">
        <v>98</v>
      </c>
      <c r="BI627" t="s">
        <v>98</v>
      </c>
      <c r="BK627" t="s">
        <v>138</v>
      </c>
      <c r="CA627" t="s">
        <v>1964</v>
      </c>
      <c r="CB627" t="s">
        <v>175</v>
      </c>
      <c r="CL627" t="s">
        <v>98</v>
      </c>
      <c r="CM627" t="s">
        <v>98</v>
      </c>
      <c r="CO627" s="1">
        <v>39728</v>
      </c>
      <c r="CP627" s="1">
        <v>43595</v>
      </c>
    </row>
    <row r="628" spans="1:94" x14ac:dyDescent="0.25">
      <c r="A628" s="4" t="s">
        <v>1994</v>
      </c>
      <c r="B628" t="str">
        <f xml:space="preserve"> "" &amp; 706411061158</f>
        <v>706411061158</v>
      </c>
      <c r="C628" t="s">
        <v>786</v>
      </c>
      <c r="D628" t="s">
        <v>1995</v>
      </c>
      <c r="F628" t="s">
        <v>135</v>
      </c>
      <c r="G628">
        <v>1</v>
      </c>
      <c r="H628">
        <v>1</v>
      </c>
      <c r="I628" t="s">
        <v>97</v>
      </c>
      <c r="J628" s="32">
        <v>35</v>
      </c>
      <c r="K628" s="32">
        <v>105</v>
      </c>
      <c r="L628">
        <v>0</v>
      </c>
      <c r="N628">
        <v>0</v>
      </c>
      <c r="S628">
        <v>72</v>
      </c>
      <c r="U628">
        <v>0.75</v>
      </c>
      <c r="V628">
        <v>0.2</v>
      </c>
      <c r="W628">
        <v>4.5199999999999996</v>
      </c>
      <c r="X628">
        <v>1</v>
      </c>
      <c r="Y628">
        <v>1.63</v>
      </c>
      <c r="Z628">
        <v>72.5</v>
      </c>
      <c r="AA628">
        <v>5.63</v>
      </c>
      <c r="AB628">
        <v>0.39</v>
      </c>
      <c r="AC628">
        <v>4.734</v>
      </c>
      <c r="AK628" t="s">
        <v>98</v>
      </c>
      <c r="AM628" t="s">
        <v>98</v>
      </c>
      <c r="AN628" t="s">
        <v>98</v>
      </c>
      <c r="AO628" t="s">
        <v>98</v>
      </c>
      <c r="AP628" t="s">
        <v>99</v>
      </c>
      <c r="AQ628" t="s">
        <v>102</v>
      </c>
      <c r="AV628" t="s">
        <v>98</v>
      </c>
      <c r="AX628" t="s">
        <v>179</v>
      </c>
      <c r="BF628" t="s">
        <v>1996</v>
      </c>
      <c r="BG628" t="s">
        <v>98</v>
      </c>
      <c r="BH628" t="s">
        <v>98</v>
      </c>
      <c r="BI628" t="s">
        <v>98</v>
      </c>
      <c r="BK628" t="s">
        <v>138</v>
      </c>
      <c r="CA628" t="s">
        <v>1964</v>
      </c>
      <c r="CB628" t="s">
        <v>179</v>
      </c>
      <c r="CL628" t="s">
        <v>98</v>
      </c>
      <c r="CM628" t="s">
        <v>98</v>
      </c>
      <c r="CN628" t="s">
        <v>349</v>
      </c>
      <c r="CO628" s="1">
        <v>43536</v>
      </c>
      <c r="CP628" s="1">
        <v>43595</v>
      </c>
    </row>
    <row r="629" spans="1:94" x14ac:dyDescent="0.25">
      <c r="A629" s="4" t="s">
        <v>1997</v>
      </c>
      <c r="B629" t="str">
        <f xml:space="preserve"> "" &amp; 706411035739</f>
        <v>706411035739</v>
      </c>
      <c r="C629" t="s">
        <v>786</v>
      </c>
      <c r="D629" t="s">
        <v>1998</v>
      </c>
      <c r="F629" t="s">
        <v>135</v>
      </c>
      <c r="G629">
        <v>1</v>
      </c>
      <c r="H629">
        <v>1</v>
      </c>
      <c r="I629" t="s">
        <v>97</v>
      </c>
      <c r="J629" s="32">
        <v>35</v>
      </c>
      <c r="K629" s="32">
        <v>105</v>
      </c>
      <c r="L629">
        <v>0</v>
      </c>
      <c r="N629">
        <v>0</v>
      </c>
      <c r="S629">
        <v>72</v>
      </c>
      <c r="U629">
        <v>0.75</v>
      </c>
      <c r="V629">
        <v>0.2</v>
      </c>
      <c r="W629">
        <v>4.5199999999999996</v>
      </c>
      <c r="X629">
        <v>1</v>
      </c>
      <c r="Y629">
        <v>1.63</v>
      </c>
      <c r="Z629">
        <v>72.5</v>
      </c>
      <c r="AA629">
        <v>5.63</v>
      </c>
      <c r="AB629">
        <v>0.39</v>
      </c>
      <c r="AC629">
        <v>4.734</v>
      </c>
      <c r="AK629" t="s">
        <v>98</v>
      </c>
      <c r="AM629" t="s">
        <v>98</v>
      </c>
      <c r="AN629" t="s">
        <v>98</v>
      </c>
      <c r="AO629" t="s">
        <v>98</v>
      </c>
      <c r="AP629" t="s">
        <v>99</v>
      </c>
      <c r="AQ629" t="s">
        <v>102</v>
      </c>
      <c r="AV629" t="s">
        <v>98</v>
      </c>
      <c r="AX629" t="s">
        <v>183</v>
      </c>
      <c r="BF629" t="s">
        <v>1999</v>
      </c>
      <c r="BG629" t="s">
        <v>98</v>
      </c>
      <c r="BH629" t="s">
        <v>98</v>
      </c>
      <c r="BI629" t="s">
        <v>98</v>
      </c>
      <c r="BK629" t="s">
        <v>138</v>
      </c>
      <c r="CA629" t="s">
        <v>1964</v>
      </c>
      <c r="CB629" t="s">
        <v>183</v>
      </c>
      <c r="CL629" t="s">
        <v>98</v>
      </c>
      <c r="CM629" t="s">
        <v>98</v>
      </c>
      <c r="CO629" s="1">
        <v>40865</v>
      </c>
      <c r="CP629" s="1">
        <v>43595</v>
      </c>
    </row>
    <row r="630" spans="1:94" x14ac:dyDescent="0.25">
      <c r="A630" s="4" t="s">
        <v>2000</v>
      </c>
      <c r="B630" t="str">
        <f xml:space="preserve"> "" &amp; 706411031304</f>
        <v>706411031304</v>
      </c>
      <c r="C630" t="s">
        <v>786</v>
      </c>
      <c r="D630" t="s">
        <v>4438</v>
      </c>
      <c r="F630" t="s">
        <v>135</v>
      </c>
      <c r="G630">
        <v>1</v>
      </c>
      <c r="H630">
        <v>1</v>
      </c>
      <c r="I630" t="s">
        <v>97</v>
      </c>
      <c r="J630" s="32">
        <v>35</v>
      </c>
      <c r="K630" s="32">
        <v>105</v>
      </c>
      <c r="L630">
        <v>0</v>
      </c>
      <c r="N630">
        <v>0</v>
      </c>
      <c r="S630">
        <v>72</v>
      </c>
      <c r="U630">
        <v>0.75</v>
      </c>
      <c r="V630">
        <v>0.2</v>
      </c>
      <c r="W630">
        <v>4.5199999999999996</v>
      </c>
      <c r="X630">
        <v>1</v>
      </c>
      <c r="Y630">
        <v>1.63</v>
      </c>
      <c r="Z630">
        <v>72.5</v>
      </c>
      <c r="AA630">
        <v>5.63</v>
      </c>
      <c r="AB630">
        <v>0.39</v>
      </c>
      <c r="AC630">
        <v>4.734</v>
      </c>
      <c r="AK630" t="s">
        <v>98</v>
      </c>
      <c r="AM630" t="s">
        <v>98</v>
      </c>
      <c r="AN630" t="s">
        <v>98</v>
      </c>
      <c r="AO630" t="s">
        <v>98</v>
      </c>
      <c r="AP630" t="s">
        <v>99</v>
      </c>
      <c r="AQ630" t="s">
        <v>102</v>
      </c>
      <c r="AV630" t="s">
        <v>98</v>
      </c>
      <c r="AX630" t="s">
        <v>186</v>
      </c>
      <c r="BF630" t="s">
        <v>2001</v>
      </c>
      <c r="BG630" t="s">
        <v>98</v>
      </c>
      <c r="BH630" t="s">
        <v>98</v>
      </c>
      <c r="BI630" t="s">
        <v>98</v>
      </c>
      <c r="BK630" t="s">
        <v>138</v>
      </c>
      <c r="CA630" t="s">
        <v>1964</v>
      </c>
      <c r="CB630" t="s">
        <v>186</v>
      </c>
      <c r="CL630" t="s">
        <v>98</v>
      </c>
      <c r="CM630" t="s">
        <v>98</v>
      </c>
      <c r="CO630" s="1">
        <v>39728</v>
      </c>
      <c r="CP630" s="1">
        <v>43595</v>
      </c>
    </row>
    <row r="631" spans="1:94" x14ac:dyDescent="0.25">
      <c r="A631" s="4" t="s">
        <v>2002</v>
      </c>
      <c r="B631" t="str">
        <f xml:space="preserve"> "" &amp; 706411039188</f>
        <v>706411039188</v>
      </c>
      <c r="C631" t="s">
        <v>786</v>
      </c>
      <c r="D631" t="s">
        <v>2003</v>
      </c>
      <c r="F631" t="s">
        <v>135</v>
      </c>
      <c r="G631">
        <v>1</v>
      </c>
      <c r="H631">
        <v>1</v>
      </c>
      <c r="I631" t="s">
        <v>97</v>
      </c>
      <c r="J631" s="32">
        <v>35</v>
      </c>
      <c r="K631" s="32">
        <v>105</v>
      </c>
      <c r="L631">
        <v>0</v>
      </c>
      <c r="N631">
        <v>0</v>
      </c>
      <c r="S631">
        <v>72</v>
      </c>
      <c r="U631">
        <v>0.75</v>
      </c>
      <c r="V631">
        <v>0.2</v>
      </c>
      <c r="W631">
        <v>4.5199999999999996</v>
      </c>
      <c r="X631">
        <v>1</v>
      </c>
      <c r="Y631">
        <v>1.63</v>
      </c>
      <c r="Z631">
        <v>72.5</v>
      </c>
      <c r="AA631">
        <v>5.63</v>
      </c>
      <c r="AB631">
        <v>0.39</v>
      </c>
      <c r="AC631">
        <v>4.734</v>
      </c>
      <c r="AK631" t="s">
        <v>98</v>
      </c>
      <c r="AM631" t="s">
        <v>98</v>
      </c>
      <c r="AN631" t="s">
        <v>98</v>
      </c>
      <c r="AO631" t="s">
        <v>98</v>
      </c>
      <c r="AP631" t="s">
        <v>99</v>
      </c>
      <c r="AQ631" t="s">
        <v>102</v>
      </c>
      <c r="AV631" t="s">
        <v>98</v>
      </c>
      <c r="AX631" t="s">
        <v>190</v>
      </c>
      <c r="BF631" t="s">
        <v>2004</v>
      </c>
      <c r="BG631" t="s">
        <v>98</v>
      </c>
      <c r="BH631" t="s">
        <v>98</v>
      </c>
      <c r="BI631" t="s">
        <v>98</v>
      </c>
      <c r="BK631" t="s">
        <v>138</v>
      </c>
      <c r="CA631" t="s">
        <v>1964</v>
      </c>
      <c r="CB631" t="s">
        <v>190</v>
      </c>
      <c r="CL631" t="s">
        <v>98</v>
      </c>
      <c r="CM631" t="s">
        <v>98</v>
      </c>
      <c r="CO631" s="1">
        <v>40841</v>
      </c>
      <c r="CP631" s="1">
        <v>43595</v>
      </c>
    </row>
    <row r="632" spans="1:94" x14ac:dyDescent="0.25">
      <c r="A632" s="4" t="s">
        <v>2005</v>
      </c>
      <c r="B632" t="str">
        <f xml:space="preserve"> "" &amp; 706411026898</f>
        <v>706411026898</v>
      </c>
      <c r="C632" t="s">
        <v>786</v>
      </c>
      <c r="D632" t="s">
        <v>4439</v>
      </c>
      <c r="F632" t="s">
        <v>135</v>
      </c>
      <c r="G632">
        <v>1</v>
      </c>
      <c r="H632">
        <v>1</v>
      </c>
      <c r="I632" t="s">
        <v>97</v>
      </c>
      <c r="J632" s="32">
        <v>35</v>
      </c>
      <c r="K632" s="32">
        <v>105</v>
      </c>
      <c r="L632">
        <v>0</v>
      </c>
      <c r="N632">
        <v>0</v>
      </c>
      <c r="S632">
        <v>72</v>
      </c>
      <c r="U632">
        <v>0.75</v>
      </c>
      <c r="V632">
        <v>0.2</v>
      </c>
      <c r="W632">
        <v>4.5199999999999996</v>
      </c>
      <c r="X632">
        <v>1</v>
      </c>
      <c r="Y632">
        <v>1.63</v>
      </c>
      <c r="Z632">
        <v>72.5</v>
      </c>
      <c r="AA632">
        <v>5.63</v>
      </c>
      <c r="AB632">
        <v>0.39</v>
      </c>
      <c r="AC632">
        <v>4.734</v>
      </c>
      <c r="AK632" t="s">
        <v>98</v>
      </c>
      <c r="AM632" t="s">
        <v>98</v>
      </c>
      <c r="AN632" t="s">
        <v>98</v>
      </c>
      <c r="AO632" t="s">
        <v>98</v>
      </c>
      <c r="AP632" t="s">
        <v>99</v>
      </c>
      <c r="AQ632" t="s">
        <v>102</v>
      </c>
      <c r="AV632" t="s">
        <v>98</v>
      </c>
      <c r="AX632" t="s">
        <v>193</v>
      </c>
      <c r="BF632" t="s">
        <v>2006</v>
      </c>
      <c r="BG632" t="s">
        <v>98</v>
      </c>
      <c r="BH632" t="s">
        <v>98</v>
      </c>
      <c r="BI632" t="s">
        <v>98</v>
      </c>
      <c r="BK632" t="s">
        <v>138</v>
      </c>
      <c r="CA632" t="s">
        <v>1964</v>
      </c>
      <c r="CB632" t="s">
        <v>193</v>
      </c>
      <c r="CL632" t="s">
        <v>98</v>
      </c>
      <c r="CM632" t="s">
        <v>98</v>
      </c>
      <c r="CO632" s="1">
        <v>39728</v>
      </c>
      <c r="CP632" s="1">
        <v>43595</v>
      </c>
    </row>
    <row r="633" spans="1:94" x14ac:dyDescent="0.25">
      <c r="A633" s="4" t="s">
        <v>2007</v>
      </c>
      <c r="B633" t="str">
        <f xml:space="preserve"> "" &amp; 706411050428</f>
        <v>706411050428</v>
      </c>
      <c r="C633" t="s">
        <v>786</v>
      </c>
      <c r="D633" t="s">
        <v>2008</v>
      </c>
      <c r="F633" t="s">
        <v>135</v>
      </c>
      <c r="G633">
        <v>1</v>
      </c>
      <c r="H633">
        <v>1</v>
      </c>
      <c r="I633" t="s">
        <v>97</v>
      </c>
      <c r="J633" s="32">
        <v>35</v>
      </c>
      <c r="K633" s="32">
        <v>105</v>
      </c>
      <c r="L633">
        <v>0</v>
      </c>
      <c r="N633">
        <v>0</v>
      </c>
      <c r="S633">
        <v>72</v>
      </c>
      <c r="U633">
        <v>0.75</v>
      </c>
      <c r="V633">
        <v>0.2</v>
      </c>
      <c r="W633">
        <v>4.5199999999999996</v>
      </c>
      <c r="X633">
        <v>1</v>
      </c>
      <c r="Y633">
        <v>1.63</v>
      </c>
      <c r="Z633">
        <v>72.5</v>
      </c>
      <c r="AA633">
        <v>5.63</v>
      </c>
      <c r="AB633">
        <v>0.39</v>
      </c>
      <c r="AC633">
        <v>4.734</v>
      </c>
      <c r="AK633" t="s">
        <v>98</v>
      </c>
      <c r="AM633" t="s">
        <v>98</v>
      </c>
      <c r="AN633" t="s">
        <v>98</v>
      </c>
      <c r="AO633" t="s">
        <v>98</v>
      </c>
      <c r="AP633" t="s">
        <v>99</v>
      </c>
      <c r="AQ633" t="s">
        <v>102</v>
      </c>
      <c r="AV633" t="s">
        <v>98</v>
      </c>
      <c r="AX633" t="s">
        <v>197</v>
      </c>
      <c r="BF633" t="s">
        <v>2009</v>
      </c>
      <c r="BG633" t="s">
        <v>98</v>
      </c>
      <c r="BH633" t="s">
        <v>98</v>
      </c>
      <c r="BI633" t="s">
        <v>98</v>
      </c>
      <c r="CB633" t="s">
        <v>197</v>
      </c>
      <c r="CL633" t="s">
        <v>98</v>
      </c>
      <c r="CM633" t="s">
        <v>98</v>
      </c>
      <c r="CP633" s="1">
        <v>43595</v>
      </c>
    </row>
    <row r="634" spans="1:94" x14ac:dyDescent="0.25">
      <c r="A634" s="4" t="s">
        <v>2010</v>
      </c>
      <c r="B634" t="str">
        <f xml:space="preserve"> "" &amp; 706411052354</f>
        <v>706411052354</v>
      </c>
      <c r="C634" t="s">
        <v>786</v>
      </c>
      <c r="D634" t="s">
        <v>2011</v>
      </c>
      <c r="F634" t="s">
        <v>135</v>
      </c>
      <c r="G634">
        <v>1</v>
      </c>
      <c r="H634">
        <v>1</v>
      </c>
      <c r="I634" t="s">
        <v>97</v>
      </c>
      <c r="J634" s="32">
        <v>35</v>
      </c>
      <c r="K634" s="32">
        <v>105</v>
      </c>
      <c r="L634">
        <v>0</v>
      </c>
      <c r="N634">
        <v>0</v>
      </c>
      <c r="S634">
        <v>72</v>
      </c>
      <c r="U634">
        <v>0.75</v>
      </c>
      <c r="V634">
        <v>0.2</v>
      </c>
      <c r="W634">
        <v>4.5199999999999996</v>
      </c>
      <c r="X634">
        <v>1</v>
      </c>
      <c r="Y634">
        <v>1.63</v>
      </c>
      <c r="Z634">
        <v>72.5</v>
      </c>
      <c r="AA634">
        <v>5.63</v>
      </c>
      <c r="AB634">
        <v>0.39</v>
      </c>
      <c r="AC634">
        <v>4.734</v>
      </c>
      <c r="AK634" t="s">
        <v>98</v>
      </c>
      <c r="AM634" t="s">
        <v>98</v>
      </c>
      <c r="AN634" t="s">
        <v>98</v>
      </c>
      <c r="AO634" t="s">
        <v>98</v>
      </c>
      <c r="AP634" t="s">
        <v>99</v>
      </c>
      <c r="AQ634" t="s">
        <v>102</v>
      </c>
      <c r="AV634" t="s">
        <v>98</v>
      </c>
      <c r="AX634" t="s">
        <v>197</v>
      </c>
      <c r="BF634" t="s">
        <v>2012</v>
      </c>
      <c r="BG634" t="s">
        <v>98</v>
      </c>
      <c r="BH634" t="s">
        <v>98</v>
      </c>
      <c r="BI634" t="s">
        <v>98</v>
      </c>
      <c r="BJ634" t="s">
        <v>291</v>
      </c>
      <c r="BK634" t="s">
        <v>292</v>
      </c>
      <c r="CA634" t="s">
        <v>1964</v>
      </c>
      <c r="CB634" t="s">
        <v>197</v>
      </c>
      <c r="CL634" t="s">
        <v>98</v>
      </c>
      <c r="CM634" t="s">
        <v>98</v>
      </c>
      <c r="CN634" t="s">
        <v>349</v>
      </c>
      <c r="CP634" s="1">
        <v>43595</v>
      </c>
    </row>
    <row r="635" spans="1:94" x14ac:dyDescent="0.25">
      <c r="A635" s="4" t="s">
        <v>2013</v>
      </c>
      <c r="B635" t="str">
        <f xml:space="preserve"> "" &amp; 706411039195</f>
        <v>706411039195</v>
      </c>
      <c r="C635" t="s">
        <v>786</v>
      </c>
      <c r="D635" t="s">
        <v>2014</v>
      </c>
      <c r="F635" t="s">
        <v>135</v>
      </c>
      <c r="G635">
        <v>1</v>
      </c>
      <c r="H635">
        <v>1</v>
      </c>
      <c r="I635" t="s">
        <v>97</v>
      </c>
      <c r="J635" s="32">
        <v>35</v>
      </c>
      <c r="K635" s="32">
        <v>105</v>
      </c>
      <c r="L635">
        <v>0</v>
      </c>
      <c r="N635">
        <v>0</v>
      </c>
      <c r="S635">
        <v>72</v>
      </c>
      <c r="U635">
        <v>0.75</v>
      </c>
      <c r="V635">
        <v>0.2</v>
      </c>
      <c r="W635">
        <v>4.5199999999999996</v>
      </c>
      <c r="X635">
        <v>1</v>
      </c>
      <c r="Y635">
        <v>1.63</v>
      </c>
      <c r="Z635">
        <v>72.5</v>
      </c>
      <c r="AA635">
        <v>5.63</v>
      </c>
      <c r="AB635">
        <v>0.39</v>
      </c>
      <c r="AC635">
        <v>4.734</v>
      </c>
      <c r="AK635" t="s">
        <v>98</v>
      </c>
      <c r="AM635" t="s">
        <v>98</v>
      </c>
      <c r="AN635" t="s">
        <v>98</v>
      </c>
      <c r="AO635" t="s">
        <v>98</v>
      </c>
      <c r="AP635" t="s">
        <v>99</v>
      </c>
      <c r="AQ635" t="s">
        <v>102</v>
      </c>
      <c r="AV635" t="s">
        <v>98</v>
      </c>
      <c r="AX635" t="s">
        <v>201</v>
      </c>
      <c r="BF635" t="s">
        <v>2015</v>
      </c>
      <c r="BG635" t="s">
        <v>98</v>
      </c>
      <c r="BH635" t="s">
        <v>98</v>
      </c>
      <c r="BI635" t="s">
        <v>98</v>
      </c>
      <c r="BK635" t="s">
        <v>138</v>
      </c>
      <c r="CA635" t="s">
        <v>1964</v>
      </c>
      <c r="CB635" t="s">
        <v>201</v>
      </c>
      <c r="CL635" t="s">
        <v>98</v>
      </c>
      <c r="CM635" t="s">
        <v>98</v>
      </c>
      <c r="CO635" s="1">
        <v>40841</v>
      </c>
      <c r="CP635" s="1">
        <v>43595</v>
      </c>
    </row>
    <row r="636" spans="1:94" x14ac:dyDescent="0.25">
      <c r="A636" s="4" t="s">
        <v>2016</v>
      </c>
      <c r="B636" t="str">
        <f xml:space="preserve"> "" &amp; 706411057106</f>
        <v>706411057106</v>
      </c>
      <c r="C636" t="s">
        <v>786</v>
      </c>
      <c r="D636" t="s">
        <v>2017</v>
      </c>
      <c r="F636" t="s">
        <v>135</v>
      </c>
      <c r="G636">
        <v>1</v>
      </c>
      <c r="H636">
        <v>1</v>
      </c>
      <c r="I636" t="s">
        <v>97</v>
      </c>
      <c r="J636" s="32">
        <v>35</v>
      </c>
      <c r="K636" s="32">
        <v>105</v>
      </c>
      <c r="L636">
        <v>0</v>
      </c>
      <c r="N636">
        <v>0</v>
      </c>
      <c r="S636">
        <v>72</v>
      </c>
      <c r="U636">
        <v>0.75</v>
      </c>
      <c r="V636">
        <v>0.2</v>
      </c>
      <c r="W636">
        <v>4.5199999999999996</v>
      </c>
      <c r="X636">
        <v>1</v>
      </c>
      <c r="Y636">
        <v>1.63</v>
      </c>
      <c r="Z636">
        <v>72.5</v>
      </c>
      <c r="AA636">
        <v>5.63</v>
      </c>
      <c r="AB636">
        <v>0.39</v>
      </c>
      <c r="AC636">
        <v>4.734</v>
      </c>
      <c r="AK636" t="s">
        <v>98</v>
      </c>
      <c r="AM636" t="s">
        <v>98</v>
      </c>
      <c r="AN636" t="s">
        <v>98</v>
      </c>
      <c r="AO636" t="s">
        <v>98</v>
      </c>
      <c r="AP636" t="s">
        <v>99</v>
      </c>
      <c r="AQ636" t="s">
        <v>102</v>
      </c>
      <c r="AV636" t="s">
        <v>98</v>
      </c>
      <c r="AX636" t="s">
        <v>859</v>
      </c>
      <c r="BF636" t="s">
        <v>2018</v>
      </c>
      <c r="BG636" t="s">
        <v>98</v>
      </c>
      <c r="BH636" t="s">
        <v>98</v>
      </c>
      <c r="BI636" t="s">
        <v>98</v>
      </c>
      <c r="BK636" t="s">
        <v>138</v>
      </c>
      <c r="CA636" t="s">
        <v>1964</v>
      </c>
      <c r="CB636" t="s">
        <v>859</v>
      </c>
      <c r="CL636" t="s">
        <v>98</v>
      </c>
      <c r="CM636" t="s">
        <v>98</v>
      </c>
      <c r="CO636" s="1">
        <v>43399</v>
      </c>
      <c r="CP636" s="1">
        <v>43595</v>
      </c>
    </row>
    <row r="637" spans="1:94" x14ac:dyDescent="0.25">
      <c r="A637" s="4" t="s">
        <v>2019</v>
      </c>
      <c r="B637" t="str">
        <f xml:space="preserve"> "" &amp; 706411043376</f>
        <v>706411043376</v>
      </c>
      <c r="C637" t="s">
        <v>786</v>
      </c>
      <c r="D637" t="s">
        <v>2020</v>
      </c>
      <c r="F637" t="s">
        <v>135</v>
      </c>
      <c r="G637">
        <v>1</v>
      </c>
      <c r="H637">
        <v>1</v>
      </c>
      <c r="I637" t="s">
        <v>97</v>
      </c>
      <c r="J637" s="32">
        <v>35</v>
      </c>
      <c r="K637" s="32">
        <v>105</v>
      </c>
      <c r="L637">
        <v>0</v>
      </c>
      <c r="N637">
        <v>0</v>
      </c>
      <c r="S637">
        <v>72</v>
      </c>
      <c r="U637">
        <v>0.75</v>
      </c>
      <c r="V637">
        <v>0.2</v>
      </c>
      <c r="W637">
        <v>4.5199999999999996</v>
      </c>
      <c r="X637">
        <v>1</v>
      </c>
      <c r="Y637">
        <v>1.63</v>
      </c>
      <c r="Z637">
        <v>72.5</v>
      </c>
      <c r="AA637">
        <v>5.63</v>
      </c>
      <c r="AB637">
        <v>0.39</v>
      </c>
      <c r="AC637">
        <v>4.734</v>
      </c>
      <c r="AK637" t="s">
        <v>98</v>
      </c>
      <c r="AM637" t="s">
        <v>98</v>
      </c>
      <c r="AN637" t="s">
        <v>98</v>
      </c>
      <c r="AO637" t="s">
        <v>98</v>
      </c>
      <c r="AP637" t="s">
        <v>99</v>
      </c>
      <c r="AQ637" t="s">
        <v>102</v>
      </c>
      <c r="AV637" t="s">
        <v>98</v>
      </c>
      <c r="AX637" t="s">
        <v>205</v>
      </c>
      <c r="BF637" t="s">
        <v>2021</v>
      </c>
      <c r="BG637" t="s">
        <v>98</v>
      </c>
      <c r="BH637" t="s">
        <v>98</v>
      </c>
      <c r="BI637" t="s">
        <v>98</v>
      </c>
      <c r="BJ637" t="s">
        <v>291</v>
      </c>
      <c r="BK637" t="s">
        <v>292</v>
      </c>
      <c r="CA637" t="s">
        <v>1964</v>
      </c>
      <c r="CB637" t="s">
        <v>205</v>
      </c>
      <c r="CL637" t="s">
        <v>98</v>
      </c>
      <c r="CM637" t="s">
        <v>98</v>
      </c>
      <c r="CN637" t="s">
        <v>349</v>
      </c>
      <c r="CP637" s="1">
        <v>43595</v>
      </c>
    </row>
    <row r="638" spans="1:94" x14ac:dyDescent="0.25">
      <c r="A638" s="4" t="s">
        <v>2022</v>
      </c>
      <c r="B638" t="str">
        <f xml:space="preserve"> "" &amp; 706411053290</f>
        <v>706411053290</v>
      </c>
      <c r="C638" t="s">
        <v>786</v>
      </c>
      <c r="D638" t="s">
        <v>2023</v>
      </c>
      <c r="F638" t="s">
        <v>135</v>
      </c>
      <c r="G638">
        <v>1</v>
      </c>
      <c r="H638">
        <v>1</v>
      </c>
      <c r="I638" t="s">
        <v>97</v>
      </c>
      <c r="J638" s="32">
        <v>35</v>
      </c>
      <c r="K638" s="32">
        <v>105</v>
      </c>
      <c r="L638">
        <v>0</v>
      </c>
      <c r="N638">
        <v>0</v>
      </c>
      <c r="S638">
        <v>72</v>
      </c>
      <c r="U638">
        <v>0.75</v>
      </c>
      <c r="V638">
        <v>0.2</v>
      </c>
      <c r="W638">
        <v>4.5199999999999996</v>
      </c>
      <c r="X638">
        <v>1</v>
      </c>
      <c r="Y638">
        <v>1.63</v>
      </c>
      <c r="Z638">
        <v>72.5</v>
      </c>
      <c r="AA638">
        <v>5.63</v>
      </c>
      <c r="AB638">
        <v>0.39</v>
      </c>
      <c r="AC638">
        <v>4.734</v>
      </c>
      <c r="AK638" t="s">
        <v>98</v>
      </c>
      <c r="AM638" t="s">
        <v>98</v>
      </c>
      <c r="AN638" t="s">
        <v>98</v>
      </c>
      <c r="AO638" t="s">
        <v>98</v>
      </c>
      <c r="AP638" t="s">
        <v>99</v>
      </c>
      <c r="AQ638" t="s">
        <v>102</v>
      </c>
      <c r="AV638" t="s">
        <v>98</v>
      </c>
      <c r="AX638" t="s">
        <v>371</v>
      </c>
      <c r="BF638" t="s">
        <v>2024</v>
      </c>
      <c r="BG638" t="s">
        <v>98</v>
      </c>
      <c r="BH638" t="s">
        <v>98</v>
      </c>
      <c r="BI638" t="s">
        <v>98</v>
      </c>
      <c r="BK638" t="s">
        <v>138</v>
      </c>
      <c r="CA638" t="s">
        <v>1964</v>
      </c>
      <c r="CB638" t="s">
        <v>371</v>
      </c>
      <c r="CL638" t="s">
        <v>98</v>
      </c>
      <c r="CM638" t="s">
        <v>98</v>
      </c>
      <c r="CN638" t="s">
        <v>349</v>
      </c>
      <c r="CP638" s="1">
        <v>43595</v>
      </c>
    </row>
    <row r="639" spans="1:94" x14ac:dyDescent="0.25">
      <c r="A639" s="4" t="s">
        <v>2025</v>
      </c>
      <c r="B639" t="str">
        <f xml:space="preserve"> "" &amp; 706411060588</f>
        <v>706411060588</v>
      </c>
      <c r="C639" t="s">
        <v>786</v>
      </c>
      <c r="D639" t="s">
        <v>4356</v>
      </c>
      <c r="F639" t="s">
        <v>135</v>
      </c>
      <c r="G639">
        <v>1</v>
      </c>
      <c r="H639">
        <v>1</v>
      </c>
      <c r="I639" t="s">
        <v>97</v>
      </c>
      <c r="J639" s="32">
        <v>35</v>
      </c>
      <c r="K639" s="32">
        <v>105</v>
      </c>
      <c r="L639">
        <v>0</v>
      </c>
      <c r="N639">
        <v>0</v>
      </c>
      <c r="S639">
        <v>72</v>
      </c>
      <c r="U639">
        <v>0.75</v>
      </c>
      <c r="V639">
        <v>0.2</v>
      </c>
      <c r="W639">
        <v>4.5199999999999996</v>
      </c>
      <c r="X639">
        <v>1</v>
      </c>
      <c r="Y639">
        <v>1.63</v>
      </c>
      <c r="Z639">
        <v>72.5</v>
      </c>
      <c r="AA639">
        <v>5.63</v>
      </c>
      <c r="AB639">
        <v>0.39</v>
      </c>
      <c r="AC639">
        <v>4.74</v>
      </c>
      <c r="AK639" t="s">
        <v>98</v>
      </c>
      <c r="AM639" t="s">
        <v>98</v>
      </c>
      <c r="AN639" t="s">
        <v>98</v>
      </c>
      <c r="AO639" t="s">
        <v>98</v>
      </c>
      <c r="AP639" t="s">
        <v>99</v>
      </c>
      <c r="AQ639" t="s">
        <v>102</v>
      </c>
      <c r="AV639" t="s">
        <v>98</v>
      </c>
      <c r="AX639" t="s">
        <v>1095</v>
      </c>
      <c r="BF639" t="s">
        <v>2026</v>
      </c>
      <c r="BG639" t="s">
        <v>98</v>
      </c>
      <c r="BH639" t="s">
        <v>98</v>
      </c>
      <c r="BI639" t="s">
        <v>98</v>
      </c>
      <c r="BJ639" t="s">
        <v>291</v>
      </c>
      <c r="BK639" t="s">
        <v>292</v>
      </c>
      <c r="CA639" t="s">
        <v>1964</v>
      </c>
      <c r="CB639" t="s">
        <v>1095</v>
      </c>
      <c r="CL639" t="s">
        <v>98</v>
      </c>
      <c r="CM639" t="s">
        <v>98</v>
      </c>
      <c r="CN639" t="s">
        <v>349</v>
      </c>
      <c r="CO639" s="1">
        <v>43642</v>
      </c>
      <c r="CP639" s="1">
        <v>43648</v>
      </c>
    </row>
    <row r="640" spans="1:94" x14ac:dyDescent="0.25">
      <c r="A640" s="4" t="s">
        <v>2027</v>
      </c>
      <c r="B640" t="str">
        <f xml:space="preserve"> "" &amp; 706411056888</f>
        <v>706411056888</v>
      </c>
      <c r="C640" t="s">
        <v>786</v>
      </c>
      <c r="D640" t="s">
        <v>2028</v>
      </c>
      <c r="F640" t="s">
        <v>135</v>
      </c>
      <c r="G640">
        <v>1</v>
      </c>
      <c r="H640">
        <v>1</v>
      </c>
      <c r="I640" t="s">
        <v>97</v>
      </c>
      <c r="J640" s="32">
        <v>35</v>
      </c>
      <c r="K640" s="32">
        <v>105</v>
      </c>
      <c r="L640">
        <v>0</v>
      </c>
      <c r="N640">
        <v>0</v>
      </c>
      <c r="S640">
        <v>72</v>
      </c>
      <c r="U640">
        <v>0.75</v>
      </c>
      <c r="V640">
        <v>0.2</v>
      </c>
      <c r="W640">
        <v>4.5199999999999996</v>
      </c>
      <c r="X640">
        <v>1</v>
      </c>
      <c r="Y640">
        <v>1.63</v>
      </c>
      <c r="Z640">
        <v>72.5</v>
      </c>
      <c r="AA640">
        <v>5.63</v>
      </c>
      <c r="AB640">
        <v>0.39</v>
      </c>
      <c r="AC640">
        <v>4.734</v>
      </c>
      <c r="AK640" t="s">
        <v>98</v>
      </c>
      <c r="AM640" t="s">
        <v>98</v>
      </c>
      <c r="AN640" t="s">
        <v>98</v>
      </c>
      <c r="AO640" t="s">
        <v>98</v>
      </c>
      <c r="AP640" t="s">
        <v>99</v>
      </c>
      <c r="AQ640" t="s">
        <v>102</v>
      </c>
      <c r="AV640" t="s">
        <v>98</v>
      </c>
      <c r="AX640" t="s">
        <v>209</v>
      </c>
      <c r="BF640" t="s">
        <v>2029</v>
      </c>
      <c r="BG640" t="s">
        <v>98</v>
      </c>
      <c r="BH640" t="s">
        <v>98</v>
      </c>
      <c r="BI640" t="s">
        <v>98</v>
      </c>
      <c r="BK640" t="s">
        <v>138</v>
      </c>
      <c r="CB640" t="s">
        <v>209</v>
      </c>
      <c r="CL640" t="s">
        <v>98</v>
      </c>
      <c r="CM640" t="s">
        <v>98</v>
      </c>
      <c r="CN640" t="s">
        <v>349</v>
      </c>
      <c r="CO640" s="1">
        <v>43147</v>
      </c>
      <c r="CP640" s="1">
        <v>43595</v>
      </c>
    </row>
    <row r="641" spans="1:94" x14ac:dyDescent="0.25">
      <c r="A641" s="4" t="s">
        <v>2030</v>
      </c>
      <c r="B641" t="str">
        <f xml:space="preserve"> "" &amp; 706411025709</f>
        <v>706411025709</v>
      </c>
      <c r="C641" t="s">
        <v>786</v>
      </c>
      <c r="D641" t="s">
        <v>4440</v>
      </c>
      <c r="F641" t="s">
        <v>135</v>
      </c>
      <c r="G641">
        <v>1</v>
      </c>
      <c r="H641">
        <v>1</v>
      </c>
      <c r="I641" t="s">
        <v>97</v>
      </c>
      <c r="J641" s="32">
        <v>35</v>
      </c>
      <c r="K641" s="32">
        <v>105</v>
      </c>
      <c r="L641">
        <v>0</v>
      </c>
      <c r="N641">
        <v>0</v>
      </c>
      <c r="S641">
        <v>72</v>
      </c>
      <c r="U641">
        <v>0.75</v>
      </c>
      <c r="V641">
        <v>0.2</v>
      </c>
      <c r="W641">
        <v>4.5199999999999996</v>
      </c>
      <c r="X641">
        <v>1</v>
      </c>
      <c r="Y641">
        <v>1.63</v>
      </c>
      <c r="Z641">
        <v>72.5</v>
      </c>
      <c r="AA641">
        <v>5.63</v>
      </c>
      <c r="AB641">
        <v>0.39</v>
      </c>
      <c r="AC641">
        <v>4.734</v>
      </c>
      <c r="AK641" t="s">
        <v>98</v>
      </c>
      <c r="AM641" t="s">
        <v>98</v>
      </c>
      <c r="AN641" t="s">
        <v>98</v>
      </c>
      <c r="AO641" t="s">
        <v>98</v>
      </c>
      <c r="AP641" t="s">
        <v>99</v>
      </c>
      <c r="AQ641" t="s">
        <v>102</v>
      </c>
      <c r="AV641" t="s">
        <v>98</v>
      </c>
      <c r="AX641" t="s">
        <v>212</v>
      </c>
      <c r="BF641" t="s">
        <v>2031</v>
      </c>
      <c r="BG641" t="s">
        <v>98</v>
      </c>
      <c r="BH641" t="s">
        <v>98</v>
      </c>
      <c r="BI641" t="s">
        <v>98</v>
      </c>
      <c r="BK641" t="s">
        <v>138</v>
      </c>
      <c r="CA641" t="s">
        <v>1964</v>
      </c>
      <c r="CB641" t="s">
        <v>212</v>
      </c>
      <c r="CL641" t="s">
        <v>98</v>
      </c>
      <c r="CM641" t="s">
        <v>98</v>
      </c>
      <c r="CO641" s="1">
        <v>39728</v>
      </c>
      <c r="CP641" s="1">
        <v>43595</v>
      </c>
    </row>
    <row r="642" spans="1:94" x14ac:dyDescent="0.25">
      <c r="A642" s="4" t="s">
        <v>2032</v>
      </c>
      <c r="B642" t="str">
        <f xml:space="preserve"> "" &amp; 706411043383</f>
        <v>706411043383</v>
      </c>
      <c r="C642" t="s">
        <v>786</v>
      </c>
      <c r="D642" t="s">
        <v>2033</v>
      </c>
      <c r="F642" t="s">
        <v>135</v>
      </c>
      <c r="G642">
        <v>1</v>
      </c>
      <c r="H642">
        <v>1</v>
      </c>
      <c r="I642" t="s">
        <v>97</v>
      </c>
      <c r="J642" s="32">
        <v>35</v>
      </c>
      <c r="K642" s="32">
        <v>105</v>
      </c>
      <c r="L642">
        <v>0</v>
      </c>
      <c r="N642">
        <v>0</v>
      </c>
      <c r="S642">
        <v>72</v>
      </c>
      <c r="U642">
        <v>0.75</v>
      </c>
      <c r="V642">
        <v>0.2</v>
      </c>
      <c r="W642">
        <v>4.5199999999999996</v>
      </c>
      <c r="X642">
        <v>1</v>
      </c>
      <c r="Y642">
        <v>1.63</v>
      </c>
      <c r="Z642">
        <v>72.5</v>
      </c>
      <c r="AA642">
        <v>5.63</v>
      </c>
      <c r="AB642">
        <v>0.39</v>
      </c>
      <c r="AC642">
        <v>4.734</v>
      </c>
      <c r="AK642" t="s">
        <v>98</v>
      </c>
      <c r="AM642" t="s">
        <v>98</v>
      </c>
      <c r="AN642" t="s">
        <v>98</v>
      </c>
      <c r="AO642" t="s">
        <v>98</v>
      </c>
      <c r="AP642" t="s">
        <v>99</v>
      </c>
      <c r="AQ642" t="s">
        <v>102</v>
      </c>
      <c r="AV642" t="s">
        <v>98</v>
      </c>
      <c r="AX642" t="s">
        <v>219</v>
      </c>
      <c r="BF642" t="s">
        <v>2034</v>
      </c>
      <c r="BG642" t="s">
        <v>98</v>
      </c>
      <c r="BH642" t="s">
        <v>98</v>
      </c>
      <c r="BI642" t="s">
        <v>98</v>
      </c>
      <c r="CB642" t="s">
        <v>219</v>
      </c>
      <c r="CL642" t="s">
        <v>98</v>
      </c>
      <c r="CM642" t="s">
        <v>98</v>
      </c>
      <c r="CP642" s="1">
        <v>43595</v>
      </c>
    </row>
    <row r="643" spans="1:94" x14ac:dyDescent="0.25">
      <c r="A643" s="4" t="s">
        <v>2035</v>
      </c>
      <c r="B643" t="str">
        <f xml:space="preserve"> "" &amp; 706411033551</f>
        <v>706411033551</v>
      </c>
      <c r="C643" t="s">
        <v>786</v>
      </c>
      <c r="D643" t="s">
        <v>2036</v>
      </c>
      <c r="F643" t="s">
        <v>135</v>
      </c>
      <c r="G643">
        <v>1</v>
      </c>
      <c r="H643">
        <v>1</v>
      </c>
      <c r="I643" t="s">
        <v>97</v>
      </c>
      <c r="J643" s="32">
        <v>35</v>
      </c>
      <c r="K643" s="32">
        <v>105</v>
      </c>
      <c r="L643">
        <v>0</v>
      </c>
      <c r="N643">
        <v>0</v>
      </c>
      <c r="S643">
        <v>72</v>
      </c>
      <c r="U643">
        <v>0.75</v>
      </c>
      <c r="V643">
        <v>0.2</v>
      </c>
      <c r="W643">
        <v>4.5199999999999996</v>
      </c>
      <c r="X643">
        <v>1</v>
      </c>
      <c r="Y643">
        <v>1.63</v>
      </c>
      <c r="Z643">
        <v>72.5</v>
      </c>
      <c r="AA643">
        <v>5.63</v>
      </c>
      <c r="AB643">
        <v>0.39</v>
      </c>
      <c r="AC643">
        <v>4.734</v>
      </c>
      <c r="AK643" t="s">
        <v>98</v>
      </c>
      <c r="AM643" t="s">
        <v>98</v>
      </c>
      <c r="AN643" t="s">
        <v>98</v>
      </c>
      <c r="AO643" t="s">
        <v>98</v>
      </c>
      <c r="AP643" t="s">
        <v>99</v>
      </c>
      <c r="AQ643" t="s">
        <v>102</v>
      </c>
      <c r="AV643" t="s">
        <v>98</v>
      </c>
      <c r="AX643" t="s">
        <v>223</v>
      </c>
      <c r="BF643" t="s">
        <v>2037</v>
      </c>
      <c r="BG643" t="s">
        <v>98</v>
      </c>
      <c r="BH643" t="s">
        <v>98</v>
      </c>
      <c r="BI643" t="s">
        <v>98</v>
      </c>
      <c r="BK643" t="s">
        <v>138</v>
      </c>
      <c r="CB643" t="s">
        <v>223</v>
      </c>
      <c r="CL643" t="s">
        <v>98</v>
      </c>
      <c r="CM643" t="s">
        <v>98</v>
      </c>
      <c r="CN643" t="s">
        <v>349</v>
      </c>
      <c r="CP643" s="1">
        <v>43595</v>
      </c>
    </row>
    <row r="644" spans="1:94" x14ac:dyDescent="0.25">
      <c r="A644" s="4" t="s">
        <v>2038</v>
      </c>
      <c r="B644" t="str">
        <f xml:space="preserve"> "" &amp; 706411039218</f>
        <v>706411039218</v>
      </c>
      <c r="C644" t="s">
        <v>786</v>
      </c>
      <c r="D644" t="s">
        <v>2039</v>
      </c>
      <c r="F644" t="s">
        <v>135</v>
      </c>
      <c r="G644">
        <v>1</v>
      </c>
      <c r="H644">
        <v>1</v>
      </c>
      <c r="I644" t="s">
        <v>97</v>
      </c>
      <c r="J644" s="32">
        <v>35</v>
      </c>
      <c r="K644" s="32">
        <v>105</v>
      </c>
      <c r="L644">
        <v>0</v>
      </c>
      <c r="N644">
        <v>0</v>
      </c>
      <c r="S644">
        <v>72</v>
      </c>
      <c r="U644">
        <v>0.75</v>
      </c>
      <c r="V644">
        <v>0.2</v>
      </c>
      <c r="W644">
        <v>4.5199999999999996</v>
      </c>
      <c r="X644">
        <v>1</v>
      </c>
      <c r="Y644">
        <v>1.63</v>
      </c>
      <c r="Z644">
        <v>72.5</v>
      </c>
      <c r="AA644">
        <v>5.63</v>
      </c>
      <c r="AB644">
        <v>0.39</v>
      </c>
      <c r="AC644">
        <v>4.734</v>
      </c>
      <c r="AK644" t="s">
        <v>98</v>
      </c>
      <c r="AM644" t="s">
        <v>98</v>
      </c>
      <c r="AN644" t="s">
        <v>98</v>
      </c>
      <c r="AO644" t="s">
        <v>98</v>
      </c>
      <c r="AP644" t="s">
        <v>99</v>
      </c>
      <c r="AQ644" t="s">
        <v>102</v>
      </c>
      <c r="AV644" t="s">
        <v>98</v>
      </c>
      <c r="AX644" t="s">
        <v>227</v>
      </c>
      <c r="BF644" t="s">
        <v>2040</v>
      </c>
      <c r="BG644" t="s">
        <v>98</v>
      </c>
      <c r="BH644" t="s">
        <v>98</v>
      </c>
      <c r="BI644" t="s">
        <v>98</v>
      </c>
      <c r="CB644" t="s">
        <v>227</v>
      </c>
      <c r="CL644" t="s">
        <v>98</v>
      </c>
      <c r="CM644" t="s">
        <v>98</v>
      </c>
      <c r="CP644" s="1">
        <v>43595</v>
      </c>
    </row>
    <row r="645" spans="1:94" x14ac:dyDescent="0.25">
      <c r="A645" s="4" t="s">
        <v>2041</v>
      </c>
      <c r="B645" t="str">
        <f xml:space="preserve"> "" &amp; 706411027383</f>
        <v>706411027383</v>
      </c>
      <c r="C645" t="s">
        <v>786</v>
      </c>
      <c r="D645" t="s">
        <v>2042</v>
      </c>
      <c r="F645" t="s">
        <v>135</v>
      </c>
      <c r="G645">
        <v>1</v>
      </c>
      <c r="H645">
        <v>1</v>
      </c>
      <c r="I645" t="s">
        <v>97</v>
      </c>
      <c r="J645" s="32">
        <v>35</v>
      </c>
      <c r="K645" s="32">
        <v>105</v>
      </c>
      <c r="L645">
        <v>0</v>
      </c>
      <c r="N645">
        <v>0</v>
      </c>
      <c r="S645">
        <v>72</v>
      </c>
      <c r="U645">
        <v>0.75</v>
      </c>
      <c r="V645">
        <v>0.2</v>
      </c>
      <c r="W645">
        <v>4.5199999999999996</v>
      </c>
      <c r="X645">
        <v>1</v>
      </c>
      <c r="Y645">
        <v>1.63</v>
      </c>
      <c r="Z645">
        <v>72.5</v>
      </c>
      <c r="AA645">
        <v>5.63</v>
      </c>
      <c r="AB645">
        <v>0.39</v>
      </c>
      <c r="AC645">
        <v>4.734</v>
      </c>
      <c r="AK645" t="s">
        <v>98</v>
      </c>
      <c r="AM645" t="s">
        <v>98</v>
      </c>
      <c r="AN645" t="s">
        <v>98</v>
      </c>
      <c r="AO645" t="s">
        <v>98</v>
      </c>
      <c r="AP645" t="s">
        <v>99</v>
      </c>
      <c r="AQ645" t="s">
        <v>102</v>
      </c>
      <c r="AV645" t="s">
        <v>98</v>
      </c>
      <c r="AX645" t="s">
        <v>231</v>
      </c>
      <c r="BF645" t="s">
        <v>2043</v>
      </c>
      <c r="BG645" t="s">
        <v>98</v>
      </c>
      <c r="BH645" t="s">
        <v>98</v>
      </c>
      <c r="BI645" t="s">
        <v>98</v>
      </c>
      <c r="BK645" t="s">
        <v>138</v>
      </c>
      <c r="CA645" t="s">
        <v>1964</v>
      </c>
      <c r="CB645" t="s">
        <v>231</v>
      </c>
      <c r="CL645" t="s">
        <v>98</v>
      </c>
      <c r="CM645" t="s">
        <v>98</v>
      </c>
      <c r="CO645" s="1">
        <v>39728</v>
      </c>
      <c r="CP645" s="1">
        <v>43595</v>
      </c>
    </row>
    <row r="646" spans="1:94" x14ac:dyDescent="0.25">
      <c r="A646" s="4" t="s">
        <v>2044</v>
      </c>
      <c r="B646" t="str">
        <f xml:space="preserve"> "" &amp; 706411027291</f>
        <v>706411027291</v>
      </c>
      <c r="C646" t="s">
        <v>786</v>
      </c>
      <c r="D646" t="s">
        <v>2045</v>
      </c>
      <c r="F646" t="s">
        <v>135</v>
      </c>
      <c r="G646">
        <v>1</v>
      </c>
      <c r="H646">
        <v>1</v>
      </c>
      <c r="I646" t="s">
        <v>97</v>
      </c>
      <c r="J646" s="32">
        <v>35</v>
      </c>
      <c r="K646" s="32">
        <v>105</v>
      </c>
      <c r="L646">
        <v>0</v>
      </c>
      <c r="N646">
        <v>0</v>
      </c>
      <c r="S646">
        <v>72</v>
      </c>
      <c r="U646">
        <v>0.75</v>
      </c>
      <c r="V646">
        <v>0.2</v>
      </c>
      <c r="W646">
        <v>4.5199999999999996</v>
      </c>
      <c r="X646">
        <v>1</v>
      </c>
      <c r="Y646">
        <v>1.63</v>
      </c>
      <c r="Z646">
        <v>72.5</v>
      </c>
      <c r="AA646">
        <v>5.63</v>
      </c>
      <c r="AB646">
        <v>0.39</v>
      </c>
      <c r="AC646">
        <v>4.734</v>
      </c>
      <c r="AK646" t="s">
        <v>98</v>
      </c>
      <c r="AM646" t="s">
        <v>98</v>
      </c>
      <c r="AN646" t="s">
        <v>98</v>
      </c>
      <c r="AO646" t="s">
        <v>98</v>
      </c>
      <c r="AP646" t="s">
        <v>99</v>
      </c>
      <c r="AQ646" t="s">
        <v>102</v>
      </c>
      <c r="AV646" t="s">
        <v>98</v>
      </c>
      <c r="AX646" t="s">
        <v>235</v>
      </c>
      <c r="BF646" t="s">
        <v>2046</v>
      </c>
      <c r="BG646" t="s">
        <v>98</v>
      </c>
      <c r="BH646" t="s">
        <v>98</v>
      </c>
      <c r="BI646" t="s">
        <v>98</v>
      </c>
      <c r="BK646" t="s">
        <v>138</v>
      </c>
      <c r="CA646" t="s">
        <v>1964</v>
      </c>
      <c r="CB646" t="s">
        <v>235</v>
      </c>
      <c r="CL646" t="s">
        <v>98</v>
      </c>
      <c r="CM646" t="s">
        <v>98</v>
      </c>
      <c r="CO646" s="1">
        <v>39728</v>
      </c>
      <c r="CP646" s="1">
        <v>43595</v>
      </c>
    </row>
    <row r="647" spans="1:94" x14ac:dyDescent="0.25">
      <c r="A647" s="4" t="s">
        <v>2047</v>
      </c>
      <c r="B647" t="str">
        <f xml:space="preserve"> "" &amp; 706411035753</f>
        <v>706411035753</v>
      </c>
      <c r="C647" t="s">
        <v>786</v>
      </c>
      <c r="D647" t="s">
        <v>4441</v>
      </c>
      <c r="F647" t="s">
        <v>135</v>
      </c>
      <c r="G647">
        <v>1</v>
      </c>
      <c r="H647">
        <v>1</v>
      </c>
      <c r="I647" t="s">
        <v>97</v>
      </c>
      <c r="J647" s="32">
        <v>35</v>
      </c>
      <c r="K647" s="32">
        <v>105</v>
      </c>
      <c r="L647">
        <v>0</v>
      </c>
      <c r="N647">
        <v>0</v>
      </c>
      <c r="S647">
        <v>72</v>
      </c>
      <c r="U647">
        <v>0.75</v>
      </c>
      <c r="V647">
        <v>0.2</v>
      </c>
      <c r="W647">
        <v>4.5199999999999996</v>
      </c>
      <c r="X647">
        <v>1</v>
      </c>
      <c r="Y647">
        <v>1.63</v>
      </c>
      <c r="Z647">
        <v>72.5</v>
      </c>
      <c r="AA647">
        <v>5.63</v>
      </c>
      <c r="AB647">
        <v>0.39</v>
      </c>
      <c r="AC647">
        <v>4.734</v>
      </c>
      <c r="AK647" t="s">
        <v>98</v>
      </c>
      <c r="AM647" t="s">
        <v>98</v>
      </c>
      <c r="AN647" t="s">
        <v>98</v>
      </c>
      <c r="AO647" t="s">
        <v>98</v>
      </c>
      <c r="AP647" t="s">
        <v>99</v>
      </c>
      <c r="AQ647" t="s">
        <v>102</v>
      </c>
      <c r="AV647" t="s">
        <v>98</v>
      </c>
      <c r="AX647" t="s">
        <v>238</v>
      </c>
      <c r="BF647" t="s">
        <v>2048</v>
      </c>
      <c r="BG647" t="s">
        <v>98</v>
      </c>
      <c r="BH647" t="s">
        <v>98</v>
      </c>
      <c r="BI647" t="s">
        <v>98</v>
      </c>
      <c r="BK647" t="s">
        <v>138</v>
      </c>
      <c r="CA647" t="s">
        <v>1964</v>
      </c>
      <c r="CB647" t="s">
        <v>238</v>
      </c>
      <c r="CL647" t="s">
        <v>98</v>
      </c>
      <c r="CM647" t="s">
        <v>98</v>
      </c>
      <c r="CO647" s="1">
        <v>39728</v>
      </c>
      <c r="CP647" s="1">
        <v>43595</v>
      </c>
    </row>
    <row r="648" spans="1:94" x14ac:dyDescent="0.25">
      <c r="A648" s="4" t="s">
        <v>2049</v>
      </c>
      <c r="B648" t="str">
        <f xml:space="preserve"> "" &amp; 706411053191</f>
        <v>706411053191</v>
      </c>
      <c r="C648" t="s">
        <v>786</v>
      </c>
      <c r="D648" t="s">
        <v>2050</v>
      </c>
      <c r="F648" t="s">
        <v>135</v>
      </c>
      <c r="G648">
        <v>1</v>
      </c>
      <c r="H648">
        <v>1</v>
      </c>
      <c r="I648" t="s">
        <v>97</v>
      </c>
      <c r="J648" s="32">
        <v>35</v>
      </c>
      <c r="K648" s="32">
        <v>105</v>
      </c>
      <c r="L648">
        <v>0</v>
      </c>
      <c r="N648">
        <v>0</v>
      </c>
      <c r="S648">
        <v>72</v>
      </c>
      <c r="U648">
        <v>0.75</v>
      </c>
      <c r="V648">
        <v>0.2</v>
      </c>
      <c r="W648">
        <v>4.5199999999999996</v>
      </c>
      <c r="X648">
        <v>1</v>
      </c>
      <c r="Y648">
        <v>1.63</v>
      </c>
      <c r="Z648">
        <v>72.5</v>
      </c>
      <c r="AA648">
        <v>5.63</v>
      </c>
      <c r="AB648">
        <v>0.39</v>
      </c>
      <c r="AC648">
        <v>4.734</v>
      </c>
      <c r="AK648" t="s">
        <v>98</v>
      </c>
      <c r="AM648" t="s">
        <v>98</v>
      </c>
      <c r="AN648" t="s">
        <v>98</v>
      </c>
      <c r="AO648" t="s">
        <v>98</v>
      </c>
      <c r="AP648" t="s">
        <v>99</v>
      </c>
      <c r="AQ648" t="s">
        <v>102</v>
      </c>
      <c r="AV648" t="s">
        <v>98</v>
      </c>
      <c r="BF648" t="s">
        <v>2051</v>
      </c>
      <c r="BG648" t="s">
        <v>98</v>
      </c>
      <c r="BH648" t="s">
        <v>98</v>
      </c>
      <c r="BI648" t="s">
        <v>98</v>
      </c>
      <c r="CL648" t="s">
        <v>98</v>
      </c>
      <c r="CM648" t="s">
        <v>98</v>
      </c>
      <c r="CP648" s="1">
        <v>43595</v>
      </c>
    </row>
    <row r="649" spans="1:94" x14ac:dyDescent="0.25">
      <c r="A649" s="4" t="s">
        <v>2052</v>
      </c>
      <c r="B649" t="str">
        <f xml:space="preserve"> "" &amp; 706411010088</f>
        <v>706411010088</v>
      </c>
      <c r="C649" t="s">
        <v>786</v>
      </c>
      <c r="D649" t="s">
        <v>2053</v>
      </c>
      <c r="F649" t="s">
        <v>135</v>
      </c>
      <c r="G649">
        <v>1</v>
      </c>
      <c r="H649">
        <v>1</v>
      </c>
      <c r="I649" t="s">
        <v>97</v>
      </c>
      <c r="J649" s="32">
        <v>35</v>
      </c>
      <c r="K649" s="32">
        <v>105</v>
      </c>
      <c r="L649">
        <v>0</v>
      </c>
      <c r="N649">
        <v>0</v>
      </c>
      <c r="S649">
        <v>72</v>
      </c>
      <c r="U649">
        <v>0.75</v>
      </c>
      <c r="V649">
        <v>0.2</v>
      </c>
      <c r="W649">
        <v>4.5199999999999996</v>
      </c>
      <c r="X649">
        <v>1</v>
      </c>
      <c r="Y649">
        <v>1.63</v>
      </c>
      <c r="Z649">
        <v>72.5</v>
      </c>
      <c r="AA649">
        <v>5.63</v>
      </c>
      <c r="AB649">
        <v>0.39</v>
      </c>
      <c r="AC649">
        <v>4.734</v>
      </c>
      <c r="AK649" t="s">
        <v>98</v>
      </c>
      <c r="AM649" t="s">
        <v>98</v>
      </c>
      <c r="AN649" t="s">
        <v>98</v>
      </c>
      <c r="AO649" t="s">
        <v>98</v>
      </c>
      <c r="AP649" t="s">
        <v>99</v>
      </c>
      <c r="AQ649" t="s">
        <v>102</v>
      </c>
      <c r="AV649" t="s">
        <v>98</v>
      </c>
      <c r="AX649" t="s">
        <v>245</v>
      </c>
      <c r="BF649" t="s">
        <v>2054</v>
      </c>
      <c r="BG649" t="s">
        <v>98</v>
      </c>
      <c r="BH649" t="s">
        <v>98</v>
      </c>
      <c r="BI649" t="s">
        <v>98</v>
      </c>
      <c r="BK649" t="s">
        <v>138</v>
      </c>
      <c r="CA649" t="s">
        <v>1964</v>
      </c>
      <c r="CB649" t="s">
        <v>245</v>
      </c>
      <c r="CL649" t="s">
        <v>98</v>
      </c>
      <c r="CM649" t="s">
        <v>98</v>
      </c>
      <c r="CO649" s="1">
        <v>39728</v>
      </c>
      <c r="CP649" s="1">
        <v>43595</v>
      </c>
    </row>
    <row r="650" spans="1:94" x14ac:dyDescent="0.25">
      <c r="A650" s="4" t="s">
        <v>2055</v>
      </c>
      <c r="B650" t="str">
        <f xml:space="preserve"> "" &amp; 706411039560</f>
        <v>706411039560</v>
      </c>
      <c r="C650" t="s">
        <v>786</v>
      </c>
      <c r="D650" t="s">
        <v>2056</v>
      </c>
      <c r="F650" t="s">
        <v>135</v>
      </c>
      <c r="G650">
        <v>1</v>
      </c>
      <c r="H650">
        <v>1</v>
      </c>
      <c r="I650" t="s">
        <v>97</v>
      </c>
      <c r="J650" s="32">
        <v>35</v>
      </c>
      <c r="K650" s="32">
        <v>105</v>
      </c>
      <c r="L650">
        <v>0</v>
      </c>
      <c r="N650">
        <v>0</v>
      </c>
      <c r="S650">
        <v>72</v>
      </c>
      <c r="U650">
        <v>0.75</v>
      </c>
      <c r="V650">
        <v>0.2</v>
      </c>
      <c r="W650">
        <v>4.5199999999999996</v>
      </c>
      <c r="X650">
        <v>1</v>
      </c>
      <c r="Y650">
        <v>1.63</v>
      </c>
      <c r="Z650">
        <v>72.5</v>
      </c>
      <c r="AA650">
        <v>5.63</v>
      </c>
      <c r="AB650">
        <v>0.39</v>
      </c>
      <c r="AC650">
        <v>4.734</v>
      </c>
      <c r="AK650" t="s">
        <v>98</v>
      </c>
      <c r="AM650" t="s">
        <v>98</v>
      </c>
      <c r="AN650" t="s">
        <v>98</v>
      </c>
      <c r="AO650" t="s">
        <v>98</v>
      </c>
      <c r="AP650" t="s">
        <v>99</v>
      </c>
      <c r="AQ650" t="s">
        <v>102</v>
      </c>
      <c r="AV650" t="s">
        <v>98</v>
      </c>
      <c r="AX650" t="s">
        <v>249</v>
      </c>
      <c r="BF650" t="s">
        <v>2057</v>
      </c>
      <c r="BG650" t="s">
        <v>98</v>
      </c>
      <c r="BH650" t="s">
        <v>98</v>
      </c>
      <c r="BI650" t="s">
        <v>98</v>
      </c>
      <c r="BK650" t="s">
        <v>138</v>
      </c>
      <c r="CA650" t="s">
        <v>1964</v>
      </c>
      <c r="CB650" t="s">
        <v>249</v>
      </c>
      <c r="CL650" t="s">
        <v>98</v>
      </c>
      <c r="CM650" t="s">
        <v>98</v>
      </c>
      <c r="CO650" s="1">
        <v>40841</v>
      </c>
      <c r="CP650" s="1">
        <v>43595</v>
      </c>
    </row>
    <row r="651" spans="1:94" x14ac:dyDescent="0.25">
      <c r="A651" s="4" t="s">
        <v>2058</v>
      </c>
      <c r="B651" t="str">
        <f xml:space="preserve"> "" &amp; 706411039225</f>
        <v>706411039225</v>
      </c>
      <c r="C651" t="s">
        <v>786</v>
      </c>
      <c r="D651" t="s">
        <v>2059</v>
      </c>
      <c r="F651" t="s">
        <v>135</v>
      </c>
      <c r="G651">
        <v>1</v>
      </c>
      <c r="H651">
        <v>1</v>
      </c>
      <c r="I651" t="s">
        <v>97</v>
      </c>
      <c r="J651" s="32">
        <v>35</v>
      </c>
      <c r="K651" s="32">
        <v>105</v>
      </c>
      <c r="L651">
        <v>0</v>
      </c>
      <c r="N651">
        <v>0</v>
      </c>
      <c r="S651">
        <v>72</v>
      </c>
      <c r="U651">
        <v>0.75</v>
      </c>
      <c r="V651">
        <v>0.2</v>
      </c>
      <c r="W651">
        <v>4.5199999999999996</v>
      </c>
      <c r="X651">
        <v>1</v>
      </c>
      <c r="Y651">
        <v>1.63</v>
      </c>
      <c r="Z651">
        <v>72.5</v>
      </c>
      <c r="AA651">
        <v>5.63</v>
      </c>
      <c r="AB651">
        <v>0.39</v>
      </c>
      <c r="AC651">
        <v>4.734</v>
      </c>
      <c r="AK651" t="s">
        <v>98</v>
      </c>
      <c r="AM651" t="s">
        <v>98</v>
      </c>
      <c r="AN651" t="s">
        <v>98</v>
      </c>
      <c r="AO651" t="s">
        <v>98</v>
      </c>
      <c r="AP651" t="s">
        <v>99</v>
      </c>
      <c r="AQ651" t="s">
        <v>102</v>
      </c>
      <c r="AV651" t="s">
        <v>98</v>
      </c>
      <c r="AX651" t="s">
        <v>253</v>
      </c>
      <c r="BF651" t="s">
        <v>2060</v>
      </c>
      <c r="BG651" t="s">
        <v>98</v>
      </c>
      <c r="BH651" t="s">
        <v>98</v>
      </c>
      <c r="BI651" t="s">
        <v>98</v>
      </c>
      <c r="BK651" t="s">
        <v>138</v>
      </c>
      <c r="CA651" t="s">
        <v>1964</v>
      </c>
      <c r="CB651" t="s">
        <v>253</v>
      </c>
      <c r="CL651" t="s">
        <v>98</v>
      </c>
      <c r="CM651" t="s">
        <v>98</v>
      </c>
      <c r="CN651" t="s">
        <v>349</v>
      </c>
      <c r="CP651" s="1">
        <v>43595</v>
      </c>
    </row>
    <row r="652" spans="1:94" x14ac:dyDescent="0.25">
      <c r="A652" s="4" t="s">
        <v>2061</v>
      </c>
      <c r="B652" t="str">
        <f xml:space="preserve"> "" &amp; 706411041631</f>
        <v>706411041631</v>
      </c>
      <c r="C652" t="s">
        <v>786</v>
      </c>
      <c r="D652" t="s">
        <v>2062</v>
      </c>
      <c r="F652" t="s">
        <v>135</v>
      </c>
      <c r="G652">
        <v>1</v>
      </c>
      <c r="H652">
        <v>1</v>
      </c>
      <c r="I652" t="s">
        <v>97</v>
      </c>
      <c r="J652" s="32">
        <v>35</v>
      </c>
      <c r="K652" s="32">
        <v>105</v>
      </c>
      <c r="L652">
        <v>0</v>
      </c>
      <c r="N652">
        <v>0</v>
      </c>
      <c r="S652">
        <v>72</v>
      </c>
      <c r="U652">
        <v>0.75</v>
      </c>
      <c r="V652">
        <v>0.2</v>
      </c>
      <c r="W652">
        <v>4.5199999999999996</v>
      </c>
      <c r="X652">
        <v>1</v>
      </c>
      <c r="Y652">
        <v>1.63</v>
      </c>
      <c r="Z652">
        <v>72.5</v>
      </c>
      <c r="AA652">
        <v>5.63</v>
      </c>
      <c r="AB652">
        <v>0.39</v>
      </c>
      <c r="AC652">
        <v>4.734</v>
      </c>
      <c r="AK652" t="s">
        <v>98</v>
      </c>
      <c r="AM652" t="s">
        <v>98</v>
      </c>
      <c r="AN652" t="s">
        <v>98</v>
      </c>
      <c r="AO652" t="s">
        <v>98</v>
      </c>
      <c r="AP652" t="s">
        <v>99</v>
      </c>
      <c r="AQ652" t="s">
        <v>102</v>
      </c>
      <c r="AV652" t="s">
        <v>98</v>
      </c>
      <c r="AX652" t="s">
        <v>257</v>
      </c>
      <c r="BF652" t="s">
        <v>2063</v>
      </c>
      <c r="BG652" t="s">
        <v>98</v>
      </c>
      <c r="BH652" t="s">
        <v>98</v>
      </c>
      <c r="BI652" t="s">
        <v>98</v>
      </c>
      <c r="BK652" t="s">
        <v>138</v>
      </c>
      <c r="CA652" t="s">
        <v>1964</v>
      </c>
      <c r="CB652" t="s">
        <v>257</v>
      </c>
      <c r="CL652" t="s">
        <v>98</v>
      </c>
      <c r="CM652" t="s">
        <v>98</v>
      </c>
      <c r="CO652" s="1">
        <v>40841</v>
      </c>
      <c r="CP652" s="1">
        <v>43595</v>
      </c>
    </row>
    <row r="653" spans="1:94" x14ac:dyDescent="0.25">
      <c r="A653" s="4" t="s">
        <v>2064</v>
      </c>
      <c r="B653" t="str">
        <f xml:space="preserve"> "" &amp; 706411003561</f>
        <v>706411003561</v>
      </c>
      <c r="C653" t="s">
        <v>786</v>
      </c>
      <c r="D653" t="s">
        <v>2065</v>
      </c>
      <c r="F653" t="s">
        <v>135</v>
      </c>
      <c r="G653">
        <v>1</v>
      </c>
      <c r="H653">
        <v>1</v>
      </c>
      <c r="I653" t="s">
        <v>97</v>
      </c>
      <c r="J653" s="32">
        <v>35</v>
      </c>
      <c r="K653" s="32">
        <v>105</v>
      </c>
      <c r="L653">
        <v>0</v>
      </c>
      <c r="N653">
        <v>0</v>
      </c>
      <c r="S653">
        <v>72</v>
      </c>
      <c r="U653">
        <v>0.75</v>
      </c>
      <c r="V653">
        <v>0.2</v>
      </c>
      <c r="W653">
        <v>4.5199999999999996</v>
      </c>
      <c r="X653">
        <v>1</v>
      </c>
      <c r="Y653">
        <v>1.63</v>
      </c>
      <c r="Z653">
        <v>72.5</v>
      </c>
      <c r="AA653">
        <v>5.63</v>
      </c>
      <c r="AB653">
        <v>0.39</v>
      </c>
      <c r="AC653">
        <v>4.734</v>
      </c>
      <c r="AK653" t="s">
        <v>98</v>
      </c>
      <c r="AM653" t="s">
        <v>98</v>
      </c>
      <c r="AN653" t="s">
        <v>98</v>
      </c>
      <c r="AO653" t="s">
        <v>98</v>
      </c>
      <c r="AP653" t="s">
        <v>99</v>
      </c>
      <c r="AQ653" t="s">
        <v>102</v>
      </c>
      <c r="AV653" t="s">
        <v>98</v>
      </c>
      <c r="AX653" t="s">
        <v>261</v>
      </c>
      <c r="BF653" t="s">
        <v>2066</v>
      </c>
      <c r="BG653" t="s">
        <v>98</v>
      </c>
      <c r="BH653" t="s">
        <v>98</v>
      </c>
      <c r="BI653" t="s">
        <v>98</v>
      </c>
      <c r="BK653" t="s">
        <v>138</v>
      </c>
      <c r="CA653" t="s">
        <v>1964</v>
      </c>
      <c r="CB653" t="s">
        <v>261</v>
      </c>
      <c r="CL653" t="s">
        <v>98</v>
      </c>
      <c r="CM653" t="s">
        <v>98</v>
      </c>
      <c r="CO653" s="1">
        <v>39728</v>
      </c>
      <c r="CP653" s="1">
        <v>43595</v>
      </c>
    </row>
    <row r="654" spans="1:94" x14ac:dyDescent="0.25">
      <c r="A654" s="4" t="s">
        <v>2067</v>
      </c>
      <c r="B654" t="str">
        <f xml:space="preserve"> "" &amp; 706411035937</f>
        <v>706411035937</v>
      </c>
      <c r="C654" t="s">
        <v>786</v>
      </c>
      <c r="D654" t="s">
        <v>2068</v>
      </c>
      <c r="F654" t="s">
        <v>135</v>
      </c>
      <c r="G654">
        <v>1</v>
      </c>
      <c r="H654">
        <v>1</v>
      </c>
      <c r="I654" t="s">
        <v>97</v>
      </c>
      <c r="J654" s="32">
        <v>35</v>
      </c>
      <c r="K654" s="32">
        <v>105</v>
      </c>
      <c r="L654">
        <v>0</v>
      </c>
      <c r="N654">
        <v>0</v>
      </c>
      <c r="S654">
        <v>72</v>
      </c>
      <c r="U654">
        <v>0.75</v>
      </c>
      <c r="V654">
        <v>0.2</v>
      </c>
      <c r="W654">
        <v>4.5199999999999996</v>
      </c>
      <c r="X654">
        <v>1</v>
      </c>
      <c r="Y654">
        <v>1.63</v>
      </c>
      <c r="Z654">
        <v>72.5</v>
      </c>
      <c r="AA654">
        <v>5.63</v>
      </c>
      <c r="AB654">
        <v>0.39</v>
      </c>
      <c r="AC654">
        <v>4.734</v>
      </c>
      <c r="AK654" t="s">
        <v>98</v>
      </c>
      <c r="AM654" t="s">
        <v>98</v>
      </c>
      <c r="AN654" t="s">
        <v>98</v>
      </c>
      <c r="AO654" t="s">
        <v>98</v>
      </c>
      <c r="AP654" t="s">
        <v>99</v>
      </c>
      <c r="AQ654" t="s">
        <v>102</v>
      </c>
      <c r="AV654" t="s">
        <v>98</v>
      </c>
      <c r="AX654" t="s">
        <v>265</v>
      </c>
      <c r="BF654" t="s">
        <v>2069</v>
      </c>
      <c r="BG654" t="s">
        <v>98</v>
      </c>
      <c r="BH654" t="s">
        <v>98</v>
      </c>
      <c r="BI654" t="s">
        <v>98</v>
      </c>
      <c r="BK654" t="s">
        <v>138</v>
      </c>
      <c r="CA654" t="s">
        <v>1964</v>
      </c>
      <c r="CB654" t="s">
        <v>265</v>
      </c>
      <c r="CL654" t="s">
        <v>98</v>
      </c>
      <c r="CM654" t="s">
        <v>98</v>
      </c>
      <c r="CO654" s="1">
        <v>39728</v>
      </c>
      <c r="CP654" s="1">
        <v>43595</v>
      </c>
    </row>
    <row r="655" spans="1:94" x14ac:dyDescent="0.25">
      <c r="A655" s="4" t="s">
        <v>2070</v>
      </c>
      <c r="B655" t="str">
        <f xml:space="preserve"> "" &amp; 706411025143</f>
        <v>706411025143</v>
      </c>
      <c r="C655" t="s">
        <v>786</v>
      </c>
      <c r="D655" t="s">
        <v>4442</v>
      </c>
      <c r="F655" t="s">
        <v>135</v>
      </c>
      <c r="G655">
        <v>1</v>
      </c>
      <c r="H655">
        <v>1</v>
      </c>
      <c r="I655" t="s">
        <v>97</v>
      </c>
      <c r="J655" s="32">
        <v>35</v>
      </c>
      <c r="K655" s="32">
        <v>105</v>
      </c>
      <c r="L655">
        <v>0</v>
      </c>
      <c r="N655">
        <v>0</v>
      </c>
      <c r="S655">
        <v>72</v>
      </c>
      <c r="U655">
        <v>0.75</v>
      </c>
      <c r="V655">
        <v>0.2</v>
      </c>
      <c r="W655">
        <v>4.5199999999999996</v>
      </c>
      <c r="X655">
        <v>1</v>
      </c>
      <c r="Y655">
        <v>1.63</v>
      </c>
      <c r="Z655">
        <v>72.5</v>
      </c>
      <c r="AA655">
        <v>5.63</v>
      </c>
      <c r="AB655">
        <v>0.39</v>
      </c>
      <c r="AC655">
        <v>4.734</v>
      </c>
      <c r="AK655" t="s">
        <v>98</v>
      </c>
      <c r="AM655" t="s">
        <v>98</v>
      </c>
      <c r="AN655" t="s">
        <v>98</v>
      </c>
      <c r="AO655" t="s">
        <v>98</v>
      </c>
      <c r="AP655" t="s">
        <v>99</v>
      </c>
      <c r="AQ655" t="s">
        <v>102</v>
      </c>
      <c r="AV655" t="s">
        <v>98</v>
      </c>
      <c r="AX655" t="s">
        <v>426</v>
      </c>
      <c r="BF655" t="s">
        <v>2071</v>
      </c>
      <c r="BG655" t="s">
        <v>98</v>
      </c>
      <c r="BH655" t="s">
        <v>98</v>
      </c>
      <c r="BI655" t="s">
        <v>98</v>
      </c>
      <c r="BK655" t="s">
        <v>138</v>
      </c>
      <c r="CA655" t="s">
        <v>1964</v>
      </c>
      <c r="CB655" t="s">
        <v>426</v>
      </c>
      <c r="CL655" t="s">
        <v>98</v>
      </c>
      <c r="CM655" t="s">
        <v>98</v>
      </c>
      <c r="CO655" s="1">
        <v>39728</v>
      </c>
      <c r="CP655" s="1">
        <v>43595</v>
      </c>
    </row>
    <row r="656" spans="1:94" x14ac:dyDescent="0.25">
      <c r="A656" s="4" t="s">
        <v>2072</v>
      </c>
      <c r="B656" t="str">
        <f xml:space="preserve"> "" &amp; 706411044687</f>
        <v>706411044687</v>
      </c>
      <c r="C656" t="s">
        <v>786</v>
      </c>
      <c r="D656" t="s">
        <v>2073</v>
      </c>
      <c r="F656" t="s">
        <v>135</v>
      </c>
      <c r="G656">
        <v>1</v>
      </c>
      <c r="H656">
        <v>1</v>
      </c>
      <c r="I656" t="s">
        <v>97</v>
      </c>
      <c r="J656" s="32">
        <v>35</v>
      </c>
      <c r="K656" s="32">
        <v>105</v>
      </c>
      <c r="L656">
        <v>0</v>
      </c>
      <c r="N656">
        <v>0</v>
      </c>
      <c r="S656">
        <v>72</v>
      </c>
      <c r="U656">
        <v>0.75</v>
      </c>
      <c r="V656">
        <v>0.2</v>
      </c>
      <c r="W656">
        <v>4.5199999999999996</v>
      </c>
      <c r="X656">
        <v>1</v>
      </c>
      <c r="Y656">
        <v>1.63</v>
      </c>
      <c r="Z656">
        <v>72.5</v>
      </c>
      <c r="AA656">
        <v>5.63</v>
      </c>
      <c r="AB656">
        <v>0.39</v>
      </c>
      <c r="AC656">
        <v>4.734</v>
      </c>
      <c r="AK656" t="s">
        <v>98</v>
      </c>
      <c r="AM656" t="s">
        <v>98</v>
      </c>
      <c r="AN656" t="s">
        <v>98</v>
      </c>
      <c r="AO656" t="s">
        <v>98</v>
      </c>
      <c r="AP656" t="s">
        <v>99</v>
      </c>
      <c r="AQ656" t="s">
        <v>102</v>
      </c>
      <c r="AV656" t="s">
        <v>98</v>
      </c>
      <c r="AX656" t="s">
        <v>430</v>
      </c>
      <c r="BF656" t="s">
        <v>2074</v>
      </c>
      <c r="BG656" t="s">
        <v>98</v>
      </c>
      <c r="BH656" t="s">
        <v>98</v>
      </c>
      <c r="BI656" t="s">
        <v>98</v>
      </c>
      <c r="CB656" t="s">
        <v>430</v>
      </c>
      <c r="CL656" t="s">
        <v>98</v>
      </c>
      <c r="CM656" t="s">
        <v>98</v>
      </c>
      <c r="CP656" s="1">
        <v>43595</v>
      </c>
    </row>
    <row r="657" spans="1:94" x14ac:dyDescent="0.25">
      <c r="A657" s="4" t="s">
        <v>2075</v>
      </c>
      <c r="B657" t="str">
        <f xml:space="preserve"> "" &amp; 706411034961</f>
        <v>706411034961</v>
      </c>
      <c r="C657" t="s">
        <v>786</v>
      </c>
      <c r="D657" t="s">
        <v>2076</v>
      </c>
      <c r="F657" t="s">
        <v>135</v>
      </c>
      <c r="G657">
        <v>1</v>
      </c>
      <c r="H657">
        <v>1</v>
      </c>
      <c r="I657" t="s">
        <v>97</v>
      </c>
      <c r="J657" s="32">
        <v>35</v>
      </c>
      <c r="K657" s="32">
        <v>105</v>
      </c>
      <c r="L657">
        <v>0</v>
      </c>
      <c r="N657">
        <v>0</v>
      </c>
      <c r="S657">
        <v>72</v>
      </c>
      <c r="U657">
        <v>0.75</v>
      </c>
      <c r="V657">
        <v>0.2</v>
      </c>
      <c r="W657">
        <v>4.5199999999999996</v>
      </c>
      <c r="X657">
        <v>1</v>
      </c>
      <c r="Y657">
        <v>1.63</v>
      </c>
      <c r="Z657">
        <v>72.5</v>
      </c>
      <c r="AA657">
        <v>5.63</v>
      </c>
      <c r="AB657">
        <v>0.39</v>
      </c>
      <c r="AC657">
        <v>4.734</v>
      </c>
      <c r="AK657" t="s">
        <v>98</v>
      </c>
      <c r="AM657" t="s">
        <v>98</v>
      </c>
      <c r="AN657" t="s">
        <v>98</v>
      </c>
      <c r="AO657" t="s">
        <v>98</v>
      </c>
      <c r="AP657" t="s">
        <v>99</v>
      </c>
      <c r="AQ657" t="s">
        <v>102</v>
      </c>
      <c r="AV657" t="s">
        <v>98</v>
      </c>
      <c r="AX657" t="s">
        <v>1149</v>
      </c>
      <c r="BF657" t="s">
        <v>2077</v>
      </c>
      <c r="BG657" t="s">
        <v>98</v>
      </c>
      <c r="BH657" t="s">
        <v>98</v>
      </c>
      <c r="BI657" t="s">
        <v>98</v>
      </c>
      <c r="BK657" t="s">
        <v>138</v>
      </c>
      <c r="CA657" t="s">
        <v>1964</v>
      </c>
      <c r="CB657" t="s">
        <v>1149</v>
      </c>
      <c r="CL657" t="s">
        <v>98</v>
      </c>
      <c r="CM657" t="s">
        <v>98</v>
      </c>
      <c r="CO657" s="1">
        <v>39728</v>
      </c>
      <c r="CP657" s="1">
        <v>43595</v>
      </c>
    </row>
    <row r="658" spans="1:94" x14ac:dyDescent="0.25">
      <c r="A658" s="4" t="s">
        <v>2078</v>
      </c>
      <c r="B658" t="str">
        <f xml:space="preserve"> "" &amp; 706411043390</f>
        <v>706411043390</v>
      </c>
      <c r="C658" t="s">
        <v>786</v>
      </c>
      <c r="D658" t="s">
        <v>2079</v>
      </c>
      <c r="F658" t="s">
        <v>135</v>
      </c>
      <c r="G658">
        <v>1</v>
      </c>
      <c r="H658">
        <v>1</v>
      </c>
      <c r="I658" t="s">
        <v>97</v>
      </c>
      <c r="J658" s="32">
        <v>35</v>
      </c>
      <c r="K658" s="32">
        <v>105</v>
      </c>
      <c r="L658">
        <v>0</v>
      </c>
      <c r="N658">
        <v>0</v>
      </c>
      <c r="S658">
        <v>72</v>
      </c>
      <c r="U658">
        <v>0.75</v>
      </c>
      <c r="V658">
        <v>0.2</v>
      </c>
      <c r="W658">
        <v>4.5199999999999996</v>
      </c>
      <c r="X658">
        <v>1</v>
      </c>
      <c r="Y658">
        <v>1.63</v>
      </c>
      <c r="Z658">
        <v>72.5</v>
      </c>
      <c r="AA658">
        <v>5.63</v>
      </c>
      <c r="AB658">
        <v>0.39</v>
      </c>
      <c r="AC658">
        <v>4.734</v>
      </c>
      <c r="AK658" t="s">
        <v>98</v>
      </c>
      <c r="AM658" t="s">
        <v>98</v>
      </c>
      <c r="AN658" t="s">
        <v>98</v>
      </c>
      <c r="AO658" t="s">
        <v>98</v>
      </c>
      <c r="AP658" t="s">
        <v>99</v>
      </c>
      <c r="AQ658" t="s">
        <v>102</v>
      </c>
      <c r="AV658" t="s">
        <v>98</v>
      </c>
      <c r="AX658" t="s">
        <v>269</v>
      </c>
      <c r="BF658" t="s">
        <v>2080</v>
      </c>
      <c r="BG658" t="s">
        <v>98</v>
      </c>
      <c r="BH658" t="s">
        <v>98</v>
      </c>
      <c r="BI658" t="s">
        <v>98</v>
      </c>
      <c r="CB658" t="s">
        <v>269</v>
      </c>
      <c r="CL658" t="s">
        <v>98</v>
      </c>
      <c r="CM658" t="s">
        <v>98</v>
      </c>
      <c r="CP658" s="1">
        <v>43595</v>
      </c>
    </row>
    <row r="659" spans="1:94" x14ac:dyDescent="0.25">
      <c r="A659" s="4" t="s">
        <v>2081</v>
      </c>
      <c r="B659" t="str">
        <f xml:space="preserve"> "" &amp; 706411041921</f>
        <v>706411041921</v>
      </c>
      <c r="C659" t="s">
        <v>786</v>
      </c>
      <c r="D659" t="s">
        <v>2082</v>
      </c>
      <c r="F659" t="s">
        <v>135</v>
      </c>
      <c r="G659">
        <v>1</v>
      </c>
      <c r="H659">
        <v>1</v>
      </c>
      <c r="I659" t="s">
        <v>97</v>
      </c>
      <c r="J659" s="32">
        <v>35</v>
      </c>
      <c r="K659" s="32">
        <v>105</v>
      </c>
      <c r="L659">
        <v>0</v>
      </c>
      <c r="N659">
        <v>0</v>
      </c>
      <c r="S659">
        <v>72</v>
      </c>
      <c r="U659">
        <v>0.75</v>
      </c>
      <c r="V659">
        <v>0.2</v>
      </c>
      <c r="W659">
        <v>4.5199999999999996</v>
      </c>
      <c r="X659">
        <v>1</v>
      </c>
      <c r="Y659">
        <v>1.63</v>
      </c>
      <c r="Z659">
        <v>72.5</v>
      </c>
      <c r="AA659">
        <v>5.63</v>
      </c>
      <c r="AB659">
        <v>0.39</v>
      </c>
      <c r="AC659">
        <v>4.734</v>
      </c>
      <c r="AK659" t="s">
        <v>98</v>
      </c>
      <c r="AM659" t="s">
        <v>98</v>
      </c>
      <c r="AN659" t="s">
        <v>98</v>
      </c>
      <c r="AO659" t="s">
        <v>98</v>
      </c>
      <c r="AP659" t="s">
        <v>99</v>
      </c>
      <c r="AQ659" t="s">
        <v>102</v>
      </c>
      <c r="AV659" t="s">
        <v>98</v>
      </c>
      <c r="AX659" t="s">
        <v>441</v>
      </c>
      <c r="BF659" t="s">
        <v>2083</v>
      </c>
      <c r="BG659" t="s">
        <v>98</v>
      </c>
      <c r="BH659" t="s">
        <v>98</v>
      </c>
      <c r="BI659" t="s">
        <v>98</v>
      </c>
      <c r="BK659" t="s">
        <v>138</v>
      </c>
      <c r="CA659" t="s">
        <v>1964</v>
      </c>
      <c r="CB659" t="s">
        <v>441</v>
      </c>
      <c r="CL659" t="s">
        <v>98</v>
      </c>
      <c r="CM659" t="s">
        <v>98</v>
      </c>
      <c r="CO659" s="1">
        <v>40728</v>
      </c>
      <c r="CP659" s="1">
        <v>43595</v>
      </c>
    </row>
    <row r="660" spans="1:94" x14ac:dyDescent="0.25">
      <c r="A660" s="4" t="s">
        <v>2084</v>
      </c>
      <c r="B660" t="str">
        <f xml:space="preserve"> "" &amp; 706411029301</f>
        <v>706411029301</v>
      </c>
      <c r="C660" t="s">
        <v>786</v>
      </c>
      <c r="D660" t="s">
        <v>2085</v>
      </c>
      <c r="F660" t="s">
        <v>135</v>
      </c>
      <c r="G660">
        <v>1</v>
      </c>
      <c r="H660">
        <v>1</v>
      </c>
      <c r="I660" t="s">
        <v>97</v>
      </c>
      <c r="J660" s="32">
        <v>35</v>
      </c>
      <c r="K660" s="32">
        <v>105</v>
      </c>
      <c r="L660">
        <v>0</v>
      </c>
      <c r="N660">
        <v>0</v>
      </c>
      <c r="S660">
        <v>72</v>
      </c>
      <c r="U660">
        <v>0.75</v>
      </c>
      <c r="V660">
        <v>0.2</v>
      </c>
      <c r="W660">
        <v>4.5199999999999996</v>
      </c>
      <c r="X660">
        <v>1</v>
      </c>
      <c r="Y660">
        <v>1.63</v>
      </c>
      <c r="Z660">
        <v>72.5</v>
      </c>
      <c r="AA660">
        <v>5.63</v>
      </c>
      <c r="AB660">
        <v>0.39</v>
      </c>
      <c r="AC660">
        <v>4.734</v>
      </c>
      <c r="AK660" t="s">
        <v>98</v>
      </c>
      <c r="AM660" t="s">
        <v>98</v>
      </c>
      <c r="AN660" t="s">
        <v>98</v>
      </c>
      <c r="AO660" t="s">
        <v>98</v>
      </c>
      <c r="AP660" t="s">
        <v>99</v>
      </c>
      <c r="AQ660" t="s">
        <v>102</v>
      </c>
      <c r="AV660" t="s">
        <v>98</v>
      </c>
      <c r="AX660" t="s">
        <v>273</v>
      </c>
      <c r="BF660" t="s">
        <v>2086</v>
      </c>
      <c r="BG660" t="s">
        <v>98</v>
      </c>
      <c r="BH660" t="s">
        <v>98</v>
      </c>
      <c r="BI660" t="s">
        <v>98</v>
      </c>
      <c r="BK660" t="s">
        <v>138</v>
      </c>
      <c r="CA660" t="s">
        <v>1964</v>
      </c>
      <c r="CB660" t="s">
        <v>273</v>
      </c>
      <c r="CL660" t="s">
        <v>98</v>
      </c>
      <c r="CM660" t="s">
        <v>98</v>
      </c>
      <c r="CO660" s="1">
        <v>39728</v>
      </c>
      <c r="CP660" s="1">
        <v>43595</v>
      </c>
    </row>
    <row r="661" spans="1:94" x14ac:dyDescent="0.25">
      <c r="A661" s="4" t="s">
        <v>2087</v>
      </c>
      <c r="B661" t="str">
        <f xml:space="preserve"> "" &amp; 706411025846</f>
        <v>706411025846</v>
      </c>
      <c r="C661" t="s">
        <v>786</v>
      </c>
      <c r="D661" t="s">
        <v>2088</v>
      </c>
      <c r="F661" t="s">
        <v>135</v>
      </c>
      <c r="G661">
        <v>1</v>
      </c>
      <c r="H661">
        <v>1</v>
      </c>
      <c r="I661" t="s">
        <v>97</v>
      </c>
      <c r="J661" s="32">
        <v>35</v>
      </c>
      <c r="K661" s="32">
        <v>105</v>
      </c>
      <c r="L661">
        <v>0</v>
      </c>
      <c r="N661">
        <v>0</v>
      </c>
      <c r="S661">
        <v>72</v>
      </c>
      <c r="U661">
        <v>0.75</v>
      </c>
      <c r="V661">
        <v>0.2</v>
      </c>
      <c r="W661">
        <v>4.5199999999999996</v>
      </c>
      <c r="X661">
        <v>1</v>
      </c>
      <c r="Y661">
        <v>1.63</v>
      </c>
      <c r="Z661">
        <v>72.5</v>
      </c>
      <c r="AA661">
        <v>5.63</v>
      </c>
      <c r="AB661">
        <v>0.39</v>
      </c>
      <c r="AC661">
        <v>4.734</v>
      </c>
      <c r="AK661" t="s">
        <v>98</v>
      </c>
      <c r="AM661" t="s">
        <v>98</v>
      </c>
      <c r="AN661" t="s">
        <v>98</v>
      </c>
      <c r="AO661" t="s">
        <v>98</v>
      </c>
      <c r="AP661" t="s">
        <v>99</v>
      </c>
      <c r="AQ661" t="s">
        <v>102</v>
      </c>
      <c r="AV661" t="s">
        <v>98</v>
      </c>
      <c r="AX661" t="s">
        <v>277</v>
      </c>
      <c r="BF661" t="s">
        <v>2089</v>
      </c>
      <c r="BG661" t="s">
        <v>98</v>
      </c>
      <c r="BH661" t="s">
        <v>98</v>
      </c>
      <c r="BI661" t="s">
        <v>98</v>
      </c>
      <c r="BK661" t="s">
        <v>138</v>
      </c>
      <c r="CA661" t="s">
        <v>1964</v>
      </c>
      <c r="CB661" t="s">
        <v>277</v>
      </c>
      <c r="CL661" t="s">
        <v>98</v>
      </c>
      <c r="CM661" t="s">
        <v>98</v>
      </c>
      <c r="CO661" s="1">
        <v>39728</v>
      </c>
      <c r="CP661" s="1">
        <v>43595</v>
      </c>
    </row>
    <row r="662" spans="1:94" x14ac:dyDescent="0.25">
      <c r="A662" s="4" t="s">
        <v>2090</v>
      </c>
      <c r="B662" t="str">
        <f xml:space="preserve"> "" &amp; 706411061486</f>
        <v>706411061486</v>
      </c>
      <c r="C662" t="s">
        <v>786</v>
      </c>
      <c r="D662" t="s">
        <v>2091</v>
      </c>
      <c r="F662" t="s">
        <v>135</v>
      </c>
      <c r="G662">
        <v>1</v>
      </c>
      <c r="H662">
        <v>1</v>
      </c>
      <c r="I662" t="s">
        <v>97</v>
      </c>
      <c r="J662" s="32">
        <v>35</v>
      </c>
      <c r="K662" s="32">
        <v>105</v>
      </c>
      <c r="L662">
        <v>0</v>
      </c>
      <c r="N662">
        <v>0</v>
      </c>
      <c r="S662">
        <v>72</v>
      </c>
      <c r="U662">
        <v>0.75</v>
      </c>
      <c r="V662">
        <v>0.2</v>
      </c>
      <c r="W662">
        <v>4.5199999999999996</v>
      </c>
      <c r="X662">
        <v>1</v>
      </c>
      <c r="Y662">
        <v>1.63</v>
      </c>
      <c r="Z662">
        <v>72.5</v>
      </c>
      <c r="AA662">
        <v>5.63</v>
      </c>
      <c r="AB662">
        <v>0.39</v>
      </c>
      <c r="AC662">
        <v>4.734</v>
      </c>
      <c r="AK662" t="s">
        <v>98</v>
      </c>
      <c r="AM662" t="s">
        <v>98</v>
      </c>
      <c r="AN662" t="s">
        <v>98</v>
      </c>
      <c r="AO662" t="s">
        <v>98</v>
      </c>
      <c r="AP662" t="s">
        <v>99</v>
      </c>
      <c r="AQ662" t="s">
        <v>102</v>
      </c>
      <c r="AV662" t="s">
        <v>98</v>
      </c>
      <c r="AX662" t="s">
        <v>281</v>
      </c>
      <c r="BF662" t="s">
        <v>2092</v>
      </c>
      <c r="BG662" t="s">
        <v>98</v>
      </c>
      <c r="BH662" t="s">
        <v>98</v>
      </c>
      <c r="BI662" t="s">
        <v>98</v>
      </c>
      <c r="BK662" t="s">
        <v>138</v>
      </c>
      <c r="CA662" t="s">
        <v>1964</v>
      </c>
      <c r="CB662" t="s">
        <v>281</v>
      </c>
      <c r="CL662" t="s">
        <v>98</v>
      </c>
      <c r="CM662" t="s">
        <v>98</v>
      </c>
      <c r="CN662" t="s">
        <v>349</v>
      </c>
      <c r="CO662" s="1">
        <v>43388</v>
      </c>
      <c r="CP662" s="1">
        <v>43595</v>
      </c>
    </row>
    <row r="663" spans="1:94" x14ac:dyDescent="0.25">
      <c r="A663" s="4" t="s">
        <v>2093</v>
      </c>
      <c r="B663" t="str">
        <f xml:space="preserve"> "" &amp; 706411020063</f>
        <v>706411020063</v>
      </c>
      <c r="C663" t="s">
        <v>786</v>
      </c>
      <c r="D663" t="s">
        <v>4443</v>
      </c>
      <c r="F663" t="s">
        <v>135</v>
      </c>
      <c r="G663">
        <v>1</v>
      </c>
      <c r="H663">
        <v>1</v>
      </c>
      <c r="I663" t="s">
        <v>97</v>
      </c>
      <c r="J663" s="32">
        <v>35</v>
      </c>
      <c r="K663" s="32">
        <v>105</v>
      </c>
      <c r="L663">
        <v>0</v>
      </c>
      <c r="N663">
        <v>0</v>
      </c>
      <c r="S663">
        <v>72</v>
      </c>
      <c r="U663">
        <v>0.75</v>
      </c>
      <c r="V663">
        <v>0.2</v>
      </c>
      <c r="W663">
        <v>4.5199999999999996</v>
      </c>
      <c r="X663">
        <v>1</v>
      </c>
      <c r="Y663">
        <v>1.63</v>
      </c>
      <c r="Z663">
        <v>72.5</v>
      </c>
      <c r="AA663">
        <v>5.63</v>
      </c>
      <c r="AB663">
        <v>0.39</v>
      </c>
      <c r="AC663">
        <v>4.734</v>
      </c>
      <c r="AK663" t="s">
        <v>98</v>
      </c>
      <c r="AM663" t="s">
        <v>98</v>
      </c>
      <c r="AN663" t="s">
        <v>98</v>
      </c>
      <c r="AO663" t="s">
        <v>98</v>
      </c>
      <c r="AP663" t="s">
        <v>99</v>
      </c>
      <c r="AQ663" t="s">
        <v>102</v>
      </c>
      <c r="AV663" t="s">
        <v>98</v>
      </c>
      <c r="AX663" t="s">
        <v>284</v>
      </c>
      <c r="BF663" t="s">
        <v>2094</v>
      </c>
      <c r="BG663" t="s">
        <v>98</v>
      </c>
      <c r="BH663" t="s">
        <v>98</v>
      </c>
      <c r="BI663" t="s">
        <v>98</v>
      </c>
      <c r="BK663" t="s">
        <v>138</v>
      </c>
      <c r="CA663" t="s">
        <v>1964</v>
      </c>
      <c r="CB663" t="s">
        <v>284</v>
      </c>
      <c r="CL663" t="s">
        <v>98</v>
      </c>
      <c r="CM663" t="s">
        <v>98</v>
      </c>
      <c r="CO663" s="1">
        <v>39728</v>
      </c>
      <c r="CP663" s="1">
        <v>43595</v>
      </c>
    </row>
    <row r="664" spans="1:94" x14ac:dyDescent="0.25">
      <c r="A664" s="4" t="s">
        <v>2095</v>
      </c>
      <c r="B664" t="str">
        <f xml:space="preserve"> "" &amp; 706411062445</f>
        <v>706411062445</v>
      </c>
      <c r="C664" t="s">
        <v>786</v>
      </c>
      <c r="D664" t="s">
        <v>2096</v>
      </c>
      <c r="F664" t="s">
        <v>135</v>
      </c>
      <c r="G664">
        <v>1</v>
      </c>
      <c r="H664">
        <v>1</v>
      </c>
      <c r="I664" t="s">
        <v>97</v>
      </c>
      <c r="J664" s="32">
        <v>35</v>
      </c>
      <c r="K664" s="32">
        <v>105</v>
      </c>
      <c r="L664">
        <v>0</v>
      </c>
      <c r="N664">
        <v>0</v>
      </c>
      <c r="S664">
        <v>72</v>
      </c>
      <c r="U664">
        <v>0.75</v>
      </c>
      <c r="V664">
        <v>0.2</v>
      </c>
      <c r="W664">
        <v>4.5199999999999996</v>
      </c>
      <c r="X664">
        <v>1</v>
      </c>
      <c r="Y664">
        <v>1.63</v>
      </c>
      <c r="Z664">
        <v>72.5</v>
      </c>
      <c r="AA664">
        <v>5.63</v>
      </c>
      <c r="AB664">
        <v>0.39</v>
      </c>
      <c r="AC664">
        <v>4.734</v>
      </c>
      <c r="AK664" t="s">
        <v>98</v>
      </c>
      <c r="AM664" t="s">
        <v>98</v>
      </c>
      <c r="AN664" t="s">
        <v>98</v>
      </c>
      <c r="AO664" t="s">
        <v>98</v>
      </c>
      <c r="AP664" t="s">
        <v>99</v>
      </c>
      <c r="AQ664" t="s">
        <v>102</v>
      </c>
      <c r="AV664" t="s">
        <v>98</v>
      </c>
      <c r="AX664" t="s">
        <v>289</v>
      </c>
      <c r="BF664" t="s">
        <v>2097</v>
      </c>
      <c r="BG664" t="s">
        <v>98</v>
      </c>
      <c r="BH664" t="s">
        <v>98</v>
      </c>
      <c r="BI664" t="s">
        <v>98</v>
      </c>
      <c r="BJ664" t="s">
        <v>291</v>
      </c>
      <c r="BK664" t="s">
        <v>292</v>
      </c>
      <c r="CA664" t="s">
        <v>1964</v>
      </c>
      <c r="CB664" t="s">
        <v>289</v>
      </c>
      <c r="CL664" t="s">
        <v>98</v>
      </c>
      <c r="CM664" t="s">
        <v>98</v>
      </c>
      <c r="CN664" t="s">
        <v>349</v>
      </c>
      <c r="CO664" s="1">
        <v>43571</v>
      </c>
      <c r="CP664" s="1">
        <v>43588</v>
      </c>
    </row>
    <row r="665" spans="1:94" x14ac:dyDescent="0.25">
      <c r="A665" s="4" t="s">
        <v>2098</v>
      </c>
      <c r="B665" t="str">
        <f xml:space="preserve"> "" &amp; 706411300967</f>
        <v>706411300967</v>
      </c>
      <c r="C665" t="s">
        <v>786</v>
      </c>
      <c r="D665" t="s">
        <v>4445</v>
      </c>
      <c r="F665" t="s">
        <v>135</v>
      </c>
      <c r="G665">
        <v>1</v>
      </c>
      <c r="H665">
        <v>1</v>
      </c>
      <c r="I665" t="s">
        <v>97</v>
      </c>
      <c r="J665" s="32">
        <v>35</v>
      </c>
      <c r="K665" s="32">
        <v>105</v>
      </c>
      <c r="L665">
        <v>0</v>
      </c>
      <c r="N665">
        <v>0</v>
      </c>
      <c r="S665">
        <v>72</v>
      </c>
      <c r="U665">
        <v>0.75</v>
      </c>
      <c r="V665">
        <v>0.2</v>
      </c>
      <c r="W665">
        <v>4.5199999999999996</v>
      </c>
      <c r="X665">
        <v>1</v>
      </c>
      <c r="Y665">
        <v>1.63</v>
      </c>
      <c r="Z665">
        <v>72.5</v>
      </c>
      <c r="AA665">
        <v>5.63</v>
      </c>
      <c r="AB665">
        <v>0.39</v>
      </c>
      <c r="AC665">
        <v>4.734</v>
      </c>
      <c r="AK665" t="s">
        <v>98</v>
      </c>
      <c r="AM665" t="s">
        <v>98</v>
      </c>
      <c r="AN665" t="s">
        <v>98</v>
      </c>
      <c r="AO665" t="s">
        <v>98</v>
      </c>
      <c r="AP665" t="s">
        <v>99</v>
      </c>
      <c r="AQ665" t="s">
        <v>102</v>
      </c>
      <c r="AV665" t="s">
        <v>98</v>
      </c>
      <c r="AX665" t="s">
        <v>458</v>
      </c>
      <c r="BF665" t="s">
        <v>2099</v>
      </c>
      <c r="BG665" t="s">
        <v>98</v>
      </c>
      <c r="BH665" t="s">
        <v>98</v>
      </c>
      <c r="BI665" t="s">
        <v>98</v>
      </c>
      <c r="BK665" t="s">
        <v>138</v>
      </c>
      <c r="CA665" t="s">
        <v>1964</v>
      </c>
      <c r="CB665" t="s">
        <v>458</v>
      </c>
      <c r="CL665" t="s">
        <v>98</v>
      </c>
      <c r="CM665" t="s">
        <v>98</v>
      </c>
      <c r="CO665" s="1">
        <v>39728</v>
      </c>
      <c r="CP665" s="1">
        <v>43595</v>
      </c>
    </row>
    <row r="666" spans="1:94" x14ac:dyDescent="0.25">
      <c r="A666" s="4" t="s">
        <v>2100</v>
      </c>
      <c r="B666" t="str">
        <f xml:space="preserve"> "" &amp; 706411043406</f>
        <v>706411043406</v>
      </c>
      <c r="C666" t="s">
        <v>786</v>
      </c>
      <c r="D666" t="s">
        <v>2101</v>
      </c>
      <c r="F666" t="s">
        <v>135</v>
      </c>
      <c r="G666">
        <v>1</v>
      </c>
      <c r="H666">
        <v>1</v>
      </c>
      <c r="I666" t="s">
        <v>97</v>
      </c>
      <c r="J666" s="32">
        <v>35</v>
      </c>
      <c r="K666" s="32">
        <v>105</v>
      </c>
      <c r="L666">
        <v>0</v>
      </c>
      <c r="N666">
        <v>0</v>
      </c>
      <c r="S666">
        <v>72</v>
      </c>
      <c r="U666">
        <v>0.75</v>
      </c>
      <c r="V666">
        <v>0.2</v>
      </c>
      <c r="W666">
        <v>4.5199999999999996</v>
      </c>
      <c r="X666">
        <v>1</v>
      </c>
      <c r="Y666">
        <v>1.63</v>
      </c>
      <c r="Z666">
        <v>72.5</v>
      </c>
      <c r="AA666">
        <v>5.63</v>
      </c>
      <c r="AB666">
        <v>0.39</v>
      </c>
      <c r="AC666">
        <v>4.734</v>
      </c>
      <c r="AK666" t="s">
        <v>98</v>
      </c>
      <c r="AM666" t="s">
        <v>98</v>
      </c>
      <c r="AN666" t="s">
        <v>98</v>
      </c>
      <c r="AO666" t="s">
        <v>98</v>
      </c>
      <c r="AP666" t="s">
        <v>99</v>
      </c>
      <c r="AQ666" t="s">
        <v>102</v>
      </c>
      <c r="AV666" t="s">
        <v>98</v>
      </c>
      <c r="AX666" t="s">
        <v>295</v>
      </c>
      <c r="BF666" t="s">
        <v>2102</v>
      </c>
      <c r="BG666" t="s">
        <v>98</v>
      </c>
      <c r="BH666" t="s">
        <v>98</v>
      </c>
      <c r="BI666" t="s">
        <v>98</v>
      </c>
      <c r="CB666" t="s">
        <v>295</v>
      </c>
      <c r="CL666" t="s">
        <v>98</v>
      </c>
      <c r="CM666" t="s">
        <v>98</v>
      </c>
      <c r="CP666" s="1">
        <v>43595</v>
      </c>
    </row>
    <row r="667" spans="1:94" x14ac:dyDescent="0.25">
      <c r="A667" s="4" t="s">
        <v>2103</v>
      </c>
      <c r="B667" t="str">
        <f xml:space="preserve"> "" &amp; 706411020070</f>
        <v>706411020070</v>
      </c>
      <c r="C667" t="s">
        <v>786</v>
      </c>
      <c r="D667" t="s">
        <v>4444</v>
      </c>
      <c r="F667" t="s">
        <v>135</v>
      </c>
      <c r="G667">
        <v>1</v>
      </c>
      <c r="H667">
        <v>1</v>
      </c>
      <c r="I667" t="s">
        <v>97</v>
      </c>
      <c r="J667" s="32">
        <v>35</v>
      </c>
      <c r="K667" s="32">
        <v>105</v>
      </c>
      <c r="L667">
        <v>0</v>
      </c>
      <c r="N667">
        <v>0</v>
      </c>
      <c r="S667">
        <v>72</v>
      </c>
      <c r="U667">
        <v>0.75</v>
      </c>
      <c r="V667">
        <v>0.2</v>
      </c>
      <c r="W667">
        <v>4.5199999999999996</v>
      </c>
      <c r="X667">
        <v>1</v>
      </c>
      <c r="Y667">
        <v>1.63</v>
      </c>
      <c r="Z667">
        <v>72.5</v>
      </c>
      <c r="AA667">
        <v>5.63</v>
      </c>
      <c r="AB667">
        <v>0.39</v>
      </c>
      <c r="AC667">
        <v>4.734</v>
      </c>
      <c r="AK667" t="s">
        <v>98</v>
      </c>
      <c r="AM667" t="s">
        <v>98</v>
      </c>
      <c r="AN667" t="s">
        <v>98</v>
      </c>
      <c r="AO667" t="s">
        <v>98</v>
      </c>
      <c r="AP667" t="s">
        <v>99</v>
      </c>
      <c r="AQ667" t="s">
        <v>102</v>
      </c>
      <c r="AV667" t="s">
        <v>98</v>
      </c>
      <c r="AX667" t="s">
        <v>298</v>
      </c>
      <c r="BF667" t="s">
        <v>2104</v>
      </c>
      <c r="BG667" t="s">
        <v>98</v>
      </c>
      <c r="BH667" t="s">
        <v>98</v>
      </c>
      <c r="BI667" t="s">
        <v>98</v>
      </c>
      <c r="BK667" t="s">
        <v>138</v>
      </c>
      <c r="CA667" t="s">
        <v>1964</v>
      </c>
      <c r="CB667" t="s">
        <v>298</v>
      </c>
      <c r="CL667" t="s">
        <v>98</v>
      </c>
      <c r="CM667" t="s">
        <v>98</v>
      </c>
      <c r="CO667" s="1">
        <v>39728</v>
      </c>
      <c r="CP667" s="1">
        <v>43595</v>
      </c>
    </row>
    <row r="668" spans="1:94" x14ac:dyDescent="0.25">
      <c r="A668" s="4" t="s">
        <v>2105</v>
      </c>
      <c r="B668" t="str">
        <f xml:space="preserve"> "" &amp; 706411055195</f>
        <v>706411055195</v>
      </c>
      <c r="C668" t="s">
        <v>786</v>
      </c>
      <c r="D668" t="s">
        <v>2106</v>
      </c>
      <c r="F668" t="s">
        <v>135</v>
      </c>
      <c r="G668">
        <v>1</v>
      </c>
      <c r="H668">
        <v>1</v>
      </c>
      <c r="I668" t="s">
        <v>97</v>
      </c>
      <c r="J668" s="32">
        <v>35</v>
      </c>
      <c r="K668" s="32">
        <v>105</v>
      </c>
      <c r="L668">
        <v>0</v>
      </c>
      <c r="N668">
        <v>0</v>
      </c>
      <c r="S668">
        <v>72</v>
      </c>
      <c r="U668">
        <v>0.75</v>
      </c>
      <c r="V668">
        <v>0.2</v>
      </c>
      <c r="W668">
        <v>4.5199999999999996</v>
      </c>
      <c r="X668">
        <v>1</v>
      </c>
      <c r="Y668">
        <v>1.63</v>
      </c>
      <c r="Z668">
        <v>72.5</v>
      </c>
      <c r="AA668">
        <v>5.63</v>
      </c>
      <c r="AB668">
        <v>0.39</v>
      </c>
      <c r="AC668">
        <v>23.72</v>
      </c>
      <c r="AK668" t="s">
        <v>98</v>
      </c>
      <c r="AM668" t="s">
        <v>98</v>
      </c>
      <c r="AN668" t="s">
        <v>98</v>
      </c>
      <c r="AO668" t="s">
        <v>98</v>
      </c>
      <c r="AP668" t="s">
        <v>99</v>
      </c>
      <c r="AQ668" t="s">
        <v>102</v>
      </c>
      <c r="AV668" t="s">
        <v>98</v>
      </c>
      <c r="AX668" t="s">
        <v>956</v>
      </c>
      <c r="AZ668" t="s">
        <v>109</v>
      </c>
      <c r="BF668" t="s">
        <v>2107</v>
      </c>
      <c r="BG668" t="s">
        <v>98</v>
      </c>
      <c r="BH668" t="s">
        <v>98</v>
      </c>
      <c r="BI668" t="s">
        <v>98</v>
      </c>
      <c r="BJ668" t="s">
        <v>291</v>
      </c>
      <c r="BK668" t="s">
        <v>292</v>
      </c>
      <c r="CA668" t="s">
        <v>1964</v>
      </c>
      <c r="CB668" t="s">
        <v>956</v>
      </c>
      <c r="CL668" t="s">
        <v>98</v>
      </c>
      <c r="CM668" t="s">
        <v>98</v>
      </c>
      <c r="CN668" t="s">
        <v>349</v>
      </c>
      <c r="CO668" s="1">
        <v>42599</v>
      </c>
      <c r="CP668" s="1">
        <v>43595</v>
      </c>
    </row>
    <row r="669" spans="1:94" x14ac:dyDescent="0.25">
      <c r="A669" s="4" t="s">
        <v>2108</v>
      </c>
      <c r="B669" t="str">
        <f xml:space="preserve"> "" &amp; 706411020438</f>
        <v>706411020438</v>
      </c>
      <c r="C669" t="s">
        <v>786</v>
      </c>
      <c r="D669" t="s">
        <v>2109</v>
      </c>
      <c r="F669" t="s">
        <v>135</v>
      </c>
      <c r="G669">
        <v>1</v>
      </c>
      <c r="H669">
        <v>1</v>
      </c>
      <c r="I669" t="s">
        <v>97</v>
      </c>
      <c r="J669" s="32">
        <v>35</v>
      </c>
      <c r="K669" s="32">
        <v>105</v>
      </c>
      <c r="L669">
        <v>0</v>
      </c>
      <c r="N669">
        <v>0</v>
      </c>
      <c r="S669">
        <v>72</v>
      </c>
      <c r="U669">
        <v>0.75</v>
      </c>
      <c r="V669">
        <v>0.2</v>
      </c>
      <c r="W669">
        <v>4.5199999999999996</v>
      </c>
      <c r="X669">
        <v>1</v>
      </c>
      <c r="Y669">
        <v>1.63</v>
      </c>
      <c r="Z669">
        <v>72.5</v>
      </c>
      <c r="AA669">
        <v>5.63</v>
      </c>
      <c r="AB669">
        <v>0.39</v>
      </c>
      <c r="AC669">
        <v>4.734</v>
      </c>
      <c r="AK669" t="s">
        <v>98</v>
      </c>
      <c r="AM669" t="s">
        <v>98</v>
      </c>
      <c r="AN669" t="s">
        <v>98</v>
      </c>
      <c r="AO669" t="s">
        <v>98</v>
      </c>
      <c r="AP669" t="s">
        <v>99</v>
      </c>
      <c r="AQ669" t="s">
        <v>102</v>
      </c>
      <c r="AV669" t="s">
        <v>98</v>
      </c>
      <c r="AX669" t="s">
        <v>306</v>
      </c>
      <c r="BF669" t="s">
        <v>2110</v>
      </c>
      <c r="BG669" t="s">
        <v>98</v>
      </c>
      <c r="BH669" t="s">
        <v>98</v>
      </c>
      <c r="BI669" t="s">
        <v>98</v>
      </c>
      <c r="BK669" t="s">
        <v>138</v>
      </c>
      <c r="CA669" t="s">
        <v>1964</v>
      </c>
      <c r="CB669" t="s">
        <v>306</v>
      </c>
      <c r="CL669" t="s">
        <v>98</v>
      </c>
      <c r="CM669" t="s">
        <v>98</v>
      </c>
      <c r="CO669" s="1">
        <v>39728</v>
      </c>
      <c r="CP669" s="1">
        <v>43595</v>
      </c>
    </row>
    <row r="670" spans="1:94" x14ac:dyDescent="0.25">
      <c r="A670" s="4" t="s">
        <v>2111</v>
      </c>
      <c r="B670" t="str">
        <f xml:space="preserve"> "" &amp; 706411045349</f>
        <v>706411045349</v>
      </c>
      <c r="C670" t="s">
        <v>2126</v>
      </c>
      <c r="D670" t="s">
        <v>2112</v>
      </c>
      <c r="E670" t="s">
        <v>2116</v>
      </c>
      <c r="F670" t="s">
        <v>2113</v>
      </c>
      <c r="G670">
        <v>1</v>
      </c>
      <c r="H670">
        <v>1</v>
      </c>
      <c r="I670" t="s">
        <v>97</v>
      </c>
      <c r="J670" s="32">
        <v>124.95</v>
      </c>
      <c r="K670" s="32">
        <v>374.85</v>
      </c>
      <c r="L670">
        <v>0</v>
      </c>
      <c r="N670">
        <v>0</v>
      </c>
      <c r="Q670" t="s">
        <v>291</v>
      </c>
      <c r="R670" s="32">
        <v>209.95</v>
      </c>
      <c r="S670">
        <v>12</v>
      </c>
      <c r="T670">
        <v>52</v>
      </c>
      <c r="U670">
        <v>52</v>
      </c>
      <c r="W670">
        <v>15.43</v>
      </c>
      <c r="X670">
        <v>1</v>
      </c>
      <c r="Y670">
        <v>10.130000000000001</v>
      </c>
      <c r="Z670">
        <v>22.25</v>
      </c>
      <c r="AA670">
        <v>11.63</v>
      </c>
      <c r="AB670">
        <v>1.5169999999999999</v>
      </c>
      <c r="AC670">
        <v>17.86</v>
      </c>
      <c r="AE670">
        <v>1</v>
      </c>
      <c r="AF670" t="s">
        <v>2117</v>
      </c>
      <c r="AG670">
        <v>16</v>
      </c>
      <c r="AK670" t="s">
        <v>291</v>
      </c>
      <c r="AM670" t="s">
        <v>98</v>
      </c>
      <c r="AN670" t="s">
        <v>291</v>
      </c>
      <c r="AO670" t="s">
        <v>98</v>
      </c>
      <c r="AP670" t="s">
        <v>99</v>
      </c>
      <c r="AQ670" t="s">
        <v>102</v>
      </c>
      <c r="AV670" t="s">
        <v>98</v>
      </c>
      <c r="AX670" t="s">
        <v>150</v>
      </c>
      <c r="AZ670" t="s">
        <v>2118</v>
      </c>
      <c r="BB670" t="s">
        <v>2119</v>
      </c>
      <c r="BC670" t="s">
        <v>2120</v>
      </c>
      <c r="BF670" t="s">
        <v>2114</v>
      </c>
      <c r="BG670" t="s">
        <v>98</v>
      </c>
      <c r="BH670" t="s">
        <v>98</v>
      </c>
      <c r="BI670" t="s">
        <v>98</v>
      </c>
      <c r="BK670" t="s">
        <v>138</v>
      </c>
      <c r="BU670">
        <v>6</v>
      </c>
      <c r="BW670">
        <v>0.75</v>
      </c>
      <c r="BX670" t="s">
        <v>2121</v>
      </c>
      <c r="BY670" t="s">
        <v>291</v>
      </c>
      <c r="BZ670" t="s">
        <v>2122</v>
      </c>
      <c r="CA670" t="s">
        <v>2123</v>
      </c>
      <c r="CB670" t="s">
        <v>150</v>
      </c>
      <c r="CC670">
        <v>217</v>
      </c>
      <c r="CD670">
        <v>0.54</v>
      </c>
      <c r="CE670">
        <v>64.95</v>
      </c>
      <c r="CF670">
        <v>4223</v>
      </c>
      <c r="CG670">
        <v>3000</v>
      </c>
      <c r="CH670">
        <v>96</v>
      </c>
      <c r="CI670">
        <v>1201.5999999999999</v>
      </c>
      <c r="CJ670">
        <v>965.5</v>
      </c>
      <c r="CK670">
        <v>30000</v>
      </c>
      <c r="CL670" t="s">
        <v>291</v>
      </c>
      <c r="CM670" t="s">
        <v>291</v>
      </c>
      <c r="CN670" t="s">
        <v>2124</v>
      </c>
      <c r="CO670" s="1">
        <v>41650</v>
      </c>
      <c r="CP670" s="1">
        <v>43595</v>
      </c>
    </row>
    <row r="671" spans="1:94" x14ac:dyDescent="0.25">
      <c r="A671" s="4" t="s">
        <v>2125</v>
      </c>
      <c r="B671" t="str">
        <f xml:space="preserve"> "" &amp; 706411061974</f>
        <v>706411061974</v>
      </c>
      <c r="C671" t="s">
        <v>2126</v>
      </c>
      <c r="D671" t="s">
        <v>2112</v>
      </c>
      <c r="E671" t="s">
        <v>2127</v>
      </c>
      <c r="F671" t="s">
        <v>2113</v>
      </c>
      <c r="G671">
        <v>1</v>
      </c>
      <c r="H671">
        <v>1</v>
      </c>
      <c r="I671" t="s">
        <v>97</v>
      </c>
      <c r="J671" s="32">
        <v>124.95</v>
      </c>
      <c r="K671" s="32">
        <v>374.85</v>
      </c>
      <c r="L671">
        <v>0</v>
      </c>
      <c r="N671">
        <v>0</v>
      </c>
      <c r="Q671" t="s">
        <v>291</v>
      </c>
      <c r="R671" s="32">
        <v>209.95</v>
      </c>
      <c r="S671">
        <v>12</v>
      </c>
      <c r="T671">
        <v>52</v>
      </c>
      <c r="U671">
        <v>52</v>
      </c>
      <c r="W671">
        <v>15.43</v>
      </c>
      <c r="X671">
        <v>1</v>
      </c>
      <c r="Y671">
        <v>10.130000000000001</v>
      </c>
      <c r="Z671">
        <v>22.25</v>
      </c>
      <c r="AA671">
        <v>11.63</v>
      </c>
      <c r="AB671">
        <v>1.5169999999999999</v>
      </c>
      <c r="AC671">
        <v>17.86</v>
      </c>
      <c r="AE671">
        <v>1</v>
      </c>
      <c r="AF671" t="s">
        <v>2128</v>
      </c>
      <c r="AG671">
        <v>16</v>
      </c>
      <c r="AK671" t="s">
        <v>291</v>
      </c>
      <c r="AM671" t="s">
        <v>98</v>
      </c>
      <c r="AN671" t="s">
        <v>291</v>
      </c>
      <c r="AO671" t="s">
        <v>98</v>
      </c>
      <c r="AP671" t="s">
        <v>99</v>
      </c>
      <c r="AQ671" t="s">
        <v>102</v>
      </c>
      <c r="AV671" t="s">
        <v>98</v>
      </c>
      <c r="AX671" t="s">
        <v>2129</v>
      </c>
      <c r="AZ671" t="s">
        <v>535</v>
      </c>
      <c r="BB671" t="s">
        <v>2130</v>
      </c>
      <c r="BC671" t="s">
        <v>2120</v>
      </c>
      <c r="BF671" t="s">
        <v>2131</v>
      </c>
      <c r="BG671" t="s">
        <v>98</v>
      </c>
      <c r="BH671" t="s">
        <v>98</v>
      </c>
      <c r="BI671" t="s">
        <v>98</v>
      </c>
      <c r="BK671" t="s">
        <v>138</v>
      </c>
      <c r="BU671">
        <v>6</v>
      </c>
      <c r="BW671">
        <v>0.75</v>
      </c>
      <c r="BX671" t="s">
        <v>2121</v>
      </c>
      <c r="BY671" t="s">
        <v>291</v>
      </c>
      <c r="BZ671" t="s">
        <v>2132</v>
      </c>
      <c r="CA671" t="s">
        <v>2123</v>
      </c>
      <c r="CB671" t="s">
        <v>2129</v>
      </c>
      <c r="CC671">
        <v>217</v>
      </c>
      <c r="CD671">
        <v>0.54</v>
      </c>
      <c r="CE671">
        <v>64.95</v>
      </c>
      <c r="CF671">
        <v>4223</v>
      </c>
      <c r="CG671">
        <v>3000</v>
      </c>
      <c r="CH671">
        <v>96</v>
      </c>
      <c r="CI671">
        <v>1201.5999999999999</v>
      </c>
      <c r="CJ671">
        <v>965.5</v>
      </c>
      <c r="CK671">
        <v>30000</v>
      </c>
      <c r="CL671" t="s">
        <v>291</v>
      </c>
      <c r="CM671" t="s">
        <v>291</v>
      </c>
      <c r="CN671" t="s">
        <v>2124</v>
      </c>
      <c r="CO671" s="1">
        <v>43544</v>
      </c>
      <c r="CP671" s="1">
        <v>43595</v>
      </c>
    </row>
    <row r="672" spans="1:94" x14ac:dyDescent="0.25">
      <c r="A672" s="4" t="s">
        <v>2133</v>
      </c>
      <c r="B672" t="str">
        <f xml:space="preserve"> "" &amp; 706411061981</f>
        <v>706411061981</v>
      </c>
      <c r="C672" t="s">
        <v>2126</v>
      </c>
      <c r="D672" t="s">
        <v>2112</v>
      </c>
      <c r="E672" t="s">
        <v>2127</v>
      </c>
      <c r="F672" t="s">
        <v>2113</v>
      </c>
      <c r="G672">
        <v>1</v>
      </c>
      <c r="H672">
        <v>1</v>
      </c>
      <c r="I672" t="s">
        <v>97</v>
      </c>
      <c r="J672" s="32">
        <v>124.95</v>
      </c>
      <c r="K672" s="32">
        <v>374.85</v>
      </c>
      <c r="L672">
        <v>0</v>
      </c>
      <c r="N672">
        <v>0</v>
      </c>
      <c r="Q672" t="s">
        <v>291</v>
      </c>
      <c r="R672" s="32">
        <v>209.95</v>
      </c>
      <c r="S672">
        <v>12</v>
      </c>
      <c r="T672">
        <v>52</v>
      </c>
      <c r="U672">
        <v>52</v>
      </c>
      <c r="W672">
        <v>15.43</v>
      </c>
      <c r="X672">
        <v>1</v>
      </c>
      <c r="Y672">
        <v>10.130000000000001</v>
      </c>
      <c r="Z672">
        <v>22.25</v>
      </c>
      <c r="AA672">
        <v>11.63</v>
      </c>
      <c r="AB672">
        <v>1.5169999999999999</v>
      </c>
      <c r="AC672">
        <v>17.86</v>
      </c>
      <c r="AE672">
        <v>1</v>
      </c>
      <c r="AF672" t="s">
        <v>2128</v>
      </c>
      <c r="AG672">
        <v>16</v>
      </c>
      <c r="AK672" t="s">
        <v>291</v>
      </c>
      <c r="AM672" t="s">
        <v>98</v>
      </c>
      <c r="AN672" t="s">
        <v>291</v>
      </c>
      <c r="AO672" t="s">
        <v>98</v>
      </c>
      <c r="AP672" t="s">
        <v>99</v>
      </c>
      <c r="AQ672" t="s">
        <v>102</v>
      </c>
      <c r="AV672" t="s">
        <v>98</v>
      </c>
      <c r="AX672" t="s">
        <v>154</v>
      </c>
      <c r="AZ672" t="s">
        <v>535</v>
      </c>
      <c r="BB672" t="s">
        <v>2130</v>
      </c>
      <c r="BC672" t="s">
        <v>2120</v>
      </c>
      <c r="BF672" t="s">
        <v>2134</v>
      </c>
      <c r="BG672" t="s">
        <v>98</v>
      </c>
      <c r="BH672" t="s">
        <v>98</v>
      </c>
      <c r="BI672" t="s">
        <v>98</v>
      </c>
      <c r="BK672" t="s">
        <v>138</v>
      </c>
      <c r="BU672">
        <v>6</v>
      </c>
      <c r="BW672">
        <v>0.75</v>
      </c>
      <c r="BX672" t="s">
        <v>2121</v>
      </c>
      <c r="BY672" t="s">
        <v>291</v>
      </c>
      <c r="BZ672" t="s">
        <v>2135</v>
      </c>
      <c r="CA672" t="s">
        <v>2123</v>
      </c>
      <c r="CB672" t="s">
        <v>154</v>
      </c>
      <c r="CC672">
        <v>217</v>
      </c>
      <c r="CD672">
        <v>0.54</v>
      </c>
      <c r="CE672">
        <v>64.95</v>
      </c>
      <c r="CF672">
        <v>4223</v>
      </c>
      <c r="CG672">
        <v>3000</v>
      </c>
      <c r="CH672">
        <v>96</v>
      </c>
      <c r="CI672">
        <v>1201.5999999999999</v>
      </c>
      <c r="CJ672">
        <v>965.5</v>
      </c>
      <c r="CK672">
        <v>30000</v>
      </c>
      <c r="CL672" t="s">
        <v>291</v>
      </c>
      <c r="CM672" t="s">
        <v>291</v>
      </c>
      <c r="CN672" t="s">
        <v>2124</v>
      </c>
      <c r="CO672" s="1">
        <v>43544</v>
      </c>
      <c r="CP672" s="1">
        <v>43595</v>
      </c>
    </row>
    <row r="673" spans="1:94" x14ac:dyDescent="0.25">
      <c r="A673" s="4" t="s">
        <v>2136</v>
      </c>
      <c r="B673" t="str">
        <f xml:space="preserve"> "" &amp; 706411061998</f>
        <v>706411061998</v>
      </c>
      <c r="C673" t="s">
        <v>2126</v>
      </c>
      <c r="D673" t="s">
        <v>2112</v>
      </c>
      <c r="E673" t="s">
        <v>2127</v>
      </c>
      <c r="F673" t="s">
        <v>2113</v>
      </c>
      <c r="G673">
        <v>1</v>
      </c>
      <c r="H673">
        <v>1</v>
      </c>
      <c r="I673" t="s">
        <v>97</v>
      </c>
      <c r="J673" s="32">
        <v>124.95</v>
      </c>
      <c r="K673" s="32">
        <v>374.85</v>
      </c>
      <c r="L673">
        <v>0</v>
      </c>
      <c r="N673">
        <v>0</v>
      </c>
      <c r="Q673" t="s">
        <v>291</v>
      </c>
      <c r="R673" s="32">
        <v>209.95</v>
      </c>
      <c r="S673">
        <v>12</v>
      </c>
      <c r="T673">
        <v>52</v>
      </c>
      <c r="U673">
        <v>52</v>
      </c>
      <c r="W673">
        <v>15.43</v>
      </c>
      <c r="X673">
        <v>1</v>
      </c>
      <c r="Y673">
        <v>10.130000000000001</v>
      </c>
      <c r="Z673">
        <v>22.25</v>
      </c>
      <c r="AA673">
        <v>11.63</v>
      </c>
      <c r="AB673">
        <v>1.5169999999999999</v>
      </c>
      <c r="AC673">
        <v>17.86</v>
      </c>
      <c r="AE673">
        <v>1</v>
      </c>
      <c r="AF673" t="s">
        <v>2128</v>
      </c>
      <c r="AG673">
        <v>16</v>
      </c>
      <c r="AK673" t="s">
        <v>291</v>
      </c>
      <c r="AM673" t="s">
        <v>98</v>
      </c>
      <c r="AN673" t="s">
        <v>291</v>
      </c>
      <c r="AO673" t="s">
        <v>98</v>
      </c>
      <c r="AP673" t="s">
        <v>99</v>
      </c>
      <c r="AQ673" t="s">
        <v>102</v>
      </c>
      <c r="AV673" t="s">
        <v>98</v>
      </c>
      <c r="AX673" t="s">
        <v>209</v>
      </c>
      <c r="AZ673" t="s">
        <v>535</v>
      </c>
      <c r="BB673" t="s">
        <v>2130</v>
      </c>
      <c r="BC673" t="s">
        <v>2120</v>
      </c>
      <c r="BF673" t="s">
        <v>2137</v>
      </c>
      <c r="BG673" t="s">
        <v>98</v>
      </c>
      <c r="BH673" t="s">
        <v>98</v>
      </c>
      <c r="BI673" t="s">
        <v>98</v>
      </c>
      <c r="BK673" t="s">
        <v>138</v>
      </c>
      <c r="BU673">
        <v>6</v>
      </c>
      <c r="BW673">
        <v>0.75</v>
      </c>
      <c r="BX673" t="s">
        <v>2121</v>
      </c>
      <c r="BY673" t="s">
        <v>291</v>
      </c>
      <c r="BZ673" t="s">
        <v>2138</v>
      </c>
      <c r="CA673" t="s">
        <v>2123</v>
      </c>
      <c r="CB673" t="s">
        <v>209</v>
      </c>
      <c r="CC673">
        <v>217</v>
      </c>
      <c r="CD673">
        <v>0.54</v>
      </c>
      <c r="CE673">
        <v>64.95</v>
      </c>
      <c r="CF673">
        <v>4223</v>
      </c>
      <c r="CG673">
        <v>3000</v>
      </c>
      <c r="CH673">
        <v>96</v>
      </c>
      <c r="CI673">
        <v>1201.5999999999999</v>
      </c>
      <c r="CJ673">
        <v>965.5</v>
      </c>
      <c r="CK673">
        <v>30000</v>
      </c>
      <c r="CL673" t="s">
        <v>291</v>
      </c>
      <c r="CM673" t="s">
        <v>291</v>
      </c>
      <c r="CN673" t="s">
        <v>2124</v>
      </c>
      <c r="CO673" s="1">
        <v>43544</v>
      </c>
      <c r="CP673" s="1">
        <v>43595</v>
      </c>
    </row>
    <row r="674" spans="1:94" x14ac:dyDescent="0.25">
      <c r="A674" s="4" t="s">
        <v>2139</v>
      </c>
      <c r="B674" t="str">
        <f xml:space="preserve"> "" &amp; 706411045356</f>
        <v>706411045356</v>
      </c>
      <c r="C674" t="s">
        <v>2126</v>
      </c>
      <c r="D674" t="s">
        <v>2112</v>
      </c>
      <c r="E674" t="s">
        <v>2116</v>
      </c>
      <c r="F674" t="s">
        <v>2113</v>
      </c>
      <c r="G674">
        <v>1</v>
      </c>
      <c r="H674">
        <v>1</v>
      </c>
      <c r="I674" t="s">
        <v>97</v>
      </c>
      <c r="J674" s="32">
        <v>124.95</v>
      </c>
      <c r="K674" s="32">
        <v>374.85</v>
      </c>
      <c r="L674">
        <v>0</v>
      </c>
      <c r="N674">
        <v>0</v>
      </c>
      <c r="Q674" t="s">
        <v>291</v>
      </c>
      <c r="R674" s="32">
        <v>209.95</v>
      </c>
      <c r="S674">
        <v>12</v>
      </c>
      <c r="T674">
        <v>52</v>
      </c>
      <c r="U674">
        <v>52</v>
      </c>
      <c r="W674">
        <v>15.43</v>
      </c>
      <c r="X674">
        <v>1</v>
      </c>
      <c r="Y674">
        <v>10.130000000000001</v>
      </c>
      <c r="Z674">
        <v>22.25</v>
      </c>
      <c r="AA674">
        <v>11.63</v>
      </c>
      <c r="AB674">
        <v>1.5169999999999999</v>
      </c>
      <c r="AC674">
        <v>17.86</v>
      </c>
      <c r="AE674">
        <v>1</v>
      </c>
      <c r="AF674" t="s">
        <v>2141</v>
      </c>
      <c r="AG674">
        <v>16</v>
      </c>
      <c r="AK674" t="s">
        <v>291</v>
      </c>
      <c r="AM674" t="s">
        <v>98</v>
      </c>
      <c r="AN674" t="s">
        <v>291</v>
      </c>
      <c r="AO674" t="s">
        <v>98</v>
      </c>
      <c r="AP674" t="s">
        <v>99</v>
      </c>
      <c r="AQ674" t="s">
        <v>102</v>
      </c>
      <c r="AV674" t="s">
        <v>98</v>
      </c>
      <c r="AX674" t="s">
        <v>245</v>
      </c>
      <c r="AZ674" t="s">
        <v>2118</v>
      </c>
      <c r="BB674" t="s">
        <v>2119</v>
      </c>
      <c r="BC674" t="s">
        <v>2120</v>
      </c>
      <c r="BF674" t="s">
        <v>2142</v>
      </c>
      <c r="BG674" t="s">
        <v>98</v>
      </c>
      <c r="BH674" t="s">
        <v>98</v>
      </c>
      <c r="BI674" t="s">
        <v>98</v>
      </c>
      <c r="BK674" t="s">
        <v>138</v>
      </c>
      <c r="BU674">
        <v>6</v>
      </c>
      <c r="BW674">
        <v>0.75</v>
      </c>
      <c r="BX674" t="s">
        <v>2121</v>
      </c>
      <c r="BY674" t="s">
        <v>291</v>
      </c>
      <c r="BZ674" t="s">
        <v>2143</v>
      </c>
      <c r="CA674" t="s">
        <v>2123</v>
      </c>
      <c r="CB674" t="s">
        <v>245</v>
      </c>
      <c r="CC674">
        <v>217</v>
      </c>
      <c r="CD674">
        <v>0.54</v>
      </c>
      <c r="CE674">
        <v>64.95</v>
      </c>
      <c r="CF674">
        <v>4223</v>
      </c>
      <c r="CG674">
        <v>3000</v>
      </c>
      <c r="CH674">
        <v>96</v>
      </c>
      <c r="CI674">
        <v>1201.5999999999999</v>
      </c>
      <c r="CJ674">
        <v>965.5</v>
      </c>
      <c r="CK674">
        <v>30000</v>
      </c>
      <c r="CL674" t="s">
        <v>291</v>
      </c>
      <c r="CM674" t="s">
        <v>291</v>
      </c>
      <c r="CN674" t="s">
        <v>2144</v>
      </c>
      <c r="CO674" s="1">
        <v>41650</v>
      </c>
      <c r="CP674" s="1">
        <v>43595</v>
      </c>
    </row>
    <row r="675" spans="1:94" x14ac:dyDescent="0.25">
      <c r="A675" s="4" t="s">
        <v>2145</v>
      </c>
      <c r="B675" t="str">
        <f xml:space="preserve"> "" &amp; 706411045363</f>
        <v>706411045363</v>
      </c>
      <c r="C675" t="s">
        <v>2126</v>
      </c>
      <c r="D675" t="s">
        <v>2112</v>
      </c>
      <c r="E675" t="s">
        <v>2116</v>
      </c>
      <c r="F675" t="s">
        <v>2113</v>
      </c>
      <c r="G675">
        <v>1</v>
      </c>
      <c r="H675">
        <v>1</v>
      </c>
      <c r="I675" t="s">
        <v>97</v>
      </c>
      <c r="J675" s="32">
        <v>124.95</v>
      </c>
      <c r="K675" s="32">
        <v>374.85</v>
      </c>
      <c r="L675">
        <v>0</v>
      </c>
      <c r="N675">
        <v>0</v>
      </c>
      <c r="Q675" t="s">
        <v>291</v>
      </c>
      <c r="R675" s="32">
        <v>209.95</v>
      </c>
      <c r="S675">
        <v>12</v>
      </c>
      <c r="T675">
        <v>52</v>
      </c>
      <c r="U675">
        <v>52</v>
      </c>
      <c r="W675">
        <v>15.43</v>
      </c>
      <c r="X675">
        <v>1</v>
      </c>
      <c r="Y675">
        <v>10.130000000000001</v>
      </c>
      <c r="Z675">
        <v>22.25</v>
      </c>
      <c r="AA675">
        <v>11.63</v>
      </c>
      <c r="AB675">
        <v>1.5169999999999999</v>
      </c>
      <c r="AC675">
        <v>17.86</v>
      </c>
      <c r="AE675">
        <v>1</v>
      </c>
      <c r="AF675" t="s">
        <v>2141</v>
      </c>
      <c r="AG675">
        <v>16</v>
      </c>
      <c r="AK675" t="s">
        <v>291</v>
      </c>
      <c r="AM675" t="s">
        <v>98</v>
      </c>
      <c r="AN675" t="s">
        <v>291</v>
      </c>
      <c r="AO675" t="s">
        <v>98</v>
      </c>
      <c r="AP675" t="s">
        <v>99</v>
      </c>
      <c r="AQ675" t="s">
        <v>102</v>
      </c>
      <c r="AV675" t="s">
        <v>98</v>
      </c>
      <c r="AX675" t="s">
        <v>302</v>
      </c>
      <c r="AZ675" t="s">
        <v>2118</v>
      </c>
      <c r="BB675" t="s">
        <v>2119</v>
      </c>
      <c r="BC675" t="s">
        <v>2120</v>
      </c>
      <c r="BF675" t="s">
        <v>2146</v>
      </c>
      <c r="BG675" t="s">
        <v>98</v>
      </c>
      <c r="BH675" t="s">
        <v>98</v>
      </c>
      <c r="BI675" t="s">
        <v>98</v>
      </c>
      <c r="BK675" t="s">
        <v>138</v>
      </c>
      <c r="BU675">
        <v>6</v>
      </c>
      <c r="BW675">
        <v>0.75</v>
      </c>
      <c r="BX675">
        <v>12</v>
      </c>
      <c r="BY675" t="s">
        <v>291</v>
      </c>
      <c r="BZ675" t="s">
        <v>2147</v>
      </c>
      <c r="CA675" t="s">
        <v>2123</v>
      </c>
      <c r="CB675" t="s">
        <v>302</v>
      </c>
      <c r="CC675">
        <v>217</v>
      </c>
      <c r="CD675">
        <v>0.54</v>
      </c>
      <c r="CE675">
        <v>64.95</v>
      </c>
      <c r="CF675">
        <v>4223</v>
      </c>
      <c r="CG675">
        <v>3000</v>
      </c>
      <c r="CH675">
        <v>96</v>
      </c>
      <c r="CI675">
        <v>1201.5999999999999</v>
      </c>
      <c r="CJ675">
        <v>965.5</v>
      </c>
      <c r="CK675">
        <v>30000</v>
      </c>
      <c r="CL675" t="s">
        <v>291</v>
      </c>
      <c r="CM675" t="s">
        <v>291</v>
      </c>
      <c r="CN675" t="s">
        <v>2148</v>
      </c>
      <c r="CO675" s="1">
        <v>41650</v>
      </c>
      <c r="CP675" s="1">
        <v>43595</v>
      </c>
    </row>
    <row r="676" spans="1:94" x14ac:dyDescent="0.25">
      <c r="A676" s="4" t="s">
        <v>2150</v>
      </c>
      <c r="B676" t="str">
        <f xml:space="preserve"> "" &amp; 706411054532</f>
        <v>706411054532</v>
      </c>
      <c r="C676" t="s">
        <v>2151</v>
      </c>
      <c r="D676" t="s">
        <v>4452</v>
      </c>
      <c r="E676" t="str">
        <f xml:space="preserve"> "CAGE FREE GYRO" &amp;  CHAR(153) &amp; ""</f>
        <v>CAGE FREE GYRO™</v>
      </c>
      <c r="F676" t="s">
        <v>2113</v>
      </c>
      <c r="G676">
        <v>1</v>
      </c>
      <c r="H676">
        <v>1</v>
      </c>
      <c r="I676" t="s">
        <v>97</v>
      </c>
      <c r="J676" s="32">
        <v>299.95</v>
      </c>
      <c r="K676" s="32">
        <v>899.85</v>
      </c>
      <c r="L676">
        <v>0</v>
      </c>
      <c r="N676">
        <v>0</v>
      </c>
      <c r="Q676" t="s">
        <v>291</v>
      </c>
      <c r="R676" s="32">
        <v>539.95000000000005</v>
      </c>
      <c r="S676">
        <v>19.75</v>
      </c>
      <c r="T676">
        <v>42</v>
      </c>
      <c r="U676">
        <v>42</v>
      </c>
      <c r="W676">
        <v>19.82</v>
      </c>
      <c r="X676">
        <v>1</v>
      </c>
      <c r="Y676">
        <v>12.13</v>
      </c>
      <c r="Z676">
        <v>39.75</v>
      </c>
      <c r="AA676">
        <v>16.5</v>
      </c>
      <c r="AB676">
        <v>4.6040000000000001</v>
      </c>
      <c r="AC676">
        <v>25.99</v>
      </c>
      <c r="AE676">
        <v>1</v>
      </c>
      <c r="AF676" t="s">
        <v>2141</v>
      </c>
      <c r="AG676">
        <v>17</v>
      </c>
      <c r="AK676" t="s">
        <v>291</v>
      </c>
      <c r="AM676" t="s">
        <v>98</v>
      </c>
      <c r="AN676" t="s">
        <v>98</v>
      </c>
      <c r="AO676" t="s">
        <v>291</v>
      </c>
      <c r="AP676" t="s">
        <v>99</v>
      </c>
      <c r="AQ676" t="s">
        <v>102</v>
      </c>
      <c r="AV676" t="s">
        <v>98</v>
      </c>
      <c r="AX676" t="s">
        <v>2129</v>
      </c>
      <c r="AZ676" t="s">
        <v>535</v>
      </c>
      <c r="BB676" t="s">
        <v>106</v>
      </c>
      <c r="BC676" t="s">
        <v>2152</v>
      </c>
      <c r="BF676" t="s">
        <v>2153</v>
      </c>
      <c r="BG676" t="s">
        <v>98</v>
      </c>
      <c r="BH676" t="s">
        <v>98</v>
      </c>
      <c r="BI676" t="s">
        <v>98</v>
      </c>
      <c r="BK676" t="s">
        <v>138</v>
      </c>
      <c r="BU676">
        <v>6</v>
      </c>
      <c r="BW676">
        <v>0.75</v>
      </c>
      <c r="BX676" t="s">
        <v>2154</v>
      </c>
      <c r="BY676" t="s">
        <v>291</v>
      </c>
      <c r="BZ676" t="s">
        <v>441</v>
      </c>
      <c r="CA676" t="s">
        <v>2155</v>
      </c>
      <c r="CB676" t="s">
        <v>2129</v>
      </c>
      <c r="CC676">
        <v>913</v>
      </c>
      <c r="CD676">
        <v>0.93</v>
      </c>
      <c r="CE676">
        <v>45</v>
      </c>
      <c r="CF676">
        <v>3000</v>
      </c>
      <c r="CG676">
        <v>3000</v>
      </c>
      <c r="CH676">
        <v>81</v>
      </c>
      <c r="CI676">
        <v>1231</v>
      </c>
      <c r="CJ676">
        <v>604</v>
      </c>
      <c r="CK676">
        <v>30000</v>
      </c>
      <c r="CL676" t="s">
        <v>291</v>
      </c>
      <c r="CM676" t="s">
        <v>291</v>
      </c>
      <c r="CN676" t="s">
        <v>2156</v>
      </c>
      <c r="CO676" s="1">
        <v>42403</v>
      </c>
      <c r="CP676" s="1">
        <v>43595</v>
      </c>
    </row>
    <row r="677" spans="1:94" x14ac:dyDescent="0.25">
      <c r="A677" s="4" t="s">
        <v>2157</v>
      </c>
      <c r="B677" t="str">
        <f xml:space="preserve"> "" &amp; 706411054549</f>
        <v>706411054549</v>
      </c>
      <c r="C677" t="s">
        <v>2151</v>
      </c>
      <c r="D677" t="s">
        <v>4452</v>
      </c>
      <c r="E677" t="str">
        <f xml:space="preserve"> "CAGE FREE GYRO" &amp;  CHAR(153) &amp; ""</f>
        <v>CAGE FREE GYRO™</v>
      </c>
      <c r="F677" t="s">
        <v>2113</v>
      </c>
      <c r="G677">
        <v>1</v>
      </c>
      <c r="H677">
        <v>1</v>
      </c>
      <c r="I677" t="s">
        <v>97</v>
      </c>
      <c r="J677" s="32">
        <v>299.95</v>
      </c>
      <c r="K677" s="32">
        <v>899.85</v>
      </c>
      <c r="L677">
        <v>0</v>
      </c>
      <c r="N677">
        <v>0</v>
      </c>
      <c r="Q677" t="s">
        <v>291</v>
      </c>
      <c r="R677" s="32">
        <v>539.95000000000005</v>
      </c>
      <c r="S677">
        <v>19.75</v>
      </c>
      <c r="T677">
        <v>42</v>
      </c>
      <c r="U677">
        <v>42</v>
      </c>
      <c r="W677">
        <v>19.82</v>
      </c>
      <c r="X677">
        <v>1</v>
      </c>
      <c r="Y677">
        <v>12.13</v>
      </c>
      <c r="Z677">
        <v>39.75</v>
      </c>
      <c r="AA677">
        <v>16.5</v>
      </c>
      <c r="AB677">
        <v>4.6040000000000001</v>
      </c>
      <c r="AC677">
        <v>25.99</v>
      </c>
      <c r="AE677">
        <v>1</v>
      </c>
      <c r="AF677" t="s">
        <v>2141</v>
      </c>
      <c r="AG677">
        <v>17</v>
      </c>
      <c r="AK677" t="s">
        <v>291</v>
      </c>
      <c r="AM677" t="s">
        <v>98</v>
      </c>
      <c r="AN677" t="s">
        <v>98</v>
      </c>
      <c r="AO677" t="s">
        <v>291</v>
      </c>
      <c r="AP677" t="s">
        <v>99</v>
      </c>
      <c r="AQ677" t="s">
        <v>102</v>
      </c>
      <c r="AV677" t="s">
        <v>98</v>
      </c>
      <c r="AX677" t="s">
        <v>245</v>
      </c>
      <c r="AZ677" t="s">
        <v>535</v>
      </c>
      <c r="BB677" t="s">
        <v>106</v>
      </c>
      <c r="BC677" t="s">
        <v>2152</v>
      </c>
      <c r="BF677" t="s">
        <v>2158</v>
      </c>
      <c r="BG677" t="s">
        <v>98</v>
      </c>
      <c r="BH677" t="s">
        <v>98</v>
      </c>
      <c r="BI677" t="s">
        <v>98</v>
      </c>
      <c r="BK677" t="s">
        <v>138</v>
      </c>
      <c r="BU677">
        <v>6</v>
      </c>
      <c r="BW677">
        <v>0.75</v>
      </c>
      <c r="BX677" t="s">
        <v>2154</v>
      </c>
      <c r="BY677" t="s">
        <v>291</v>
      </c>
      <c r="BZ677" t="s">
        <v>2159</v>
      </c>
      <c r="CA677" t="s">
        <v>2155</v>
      </c>
      <c r="CB677" t="s">
        <v>245</v>
      </c>
      <c r="CC677">
        <v>913</v>
      </c>
      <c r="CD677">
        <v>0.93</v>
      </c>
      <c r="CE677">
        <v>107.8</v>
      </c>
      <c r="CF677">
        <v>2726</v>
      </c>
      <c r="CG677">
        <v>3000</v>
      </c>
      <c r="CH677">
        <v>81</v>
      </c>
      <c r="CI677">
        <v>1231</v>
      </c>
      <c r="CJ677">
        <v>604</v>
      </c>
      <c r="CK677">
        <v>30000</v>
      </c>
      <c r="CL677" t="s">
        <v>291</v>
      </c>
      <c r="CM677" t="s">
        <v>291</v>
      </c>
      <c r="CN677" t="s">
        <v>2156</v>
      </c>
      <c r="CO677" s="1">
        <v>42403</v>
      </c>
      <c r="CP677" s="1">
        <v>43595</v>
      </c>
    </row>
    <row r="678" spans="1:94" x14ac:dyDescent="0.25">
      <c r="A678" s="4" t="s">
        <v>2160</v>
      </c>
      <c r="B678" t="str">
        <f xml:space="preserve"> "" &amp; 706411056277</f>
        <v>706411056277</v>
      </c>
      <c r="C678" t="s">
        <v>2161</v>
      </c>
      <c r="D678" t="s">
        <v>2162</v>
      </c>
      <c r="E678" t="s">
        <v>2163</v>
      </c>
      <c r="F678" t="s">
        <v>2113</v>
      </c>
      <c r="G678">
        <v>1</v>
      </c>
      <c r="H678">
        <v>1</v>
      </c>
      <c r="I678" t="s">
        <v>97</v>
      </c>
      <c r="J678" s="32">
        <v>169.95</v>
      </c>
      <c r="K678" s="32">
        <v>509.85</v>
      </c>
      <c r="L678">
        <v>0</v>
      </c>
      <c r="N678">
        <v>0</v>
      </c>
      <c r="Q678" t="s">
        <v>291</v>
      </c>
      <c r="R678" s="32">
        <v>339.95</v>
      </c>
      <c r="T678">
        <v>16.149999999999999</v>
      </c>
      <c r="U678">
        <v>15.5</v>
      </c>
      <c r="V678">
        <v>21</v>
      </c>
      <c r="W678">
        <v>16.27</v>
      </c>
      <c r="X678">
        <v>1</v>
      </c>
      <c r="Y678">
        <v>18.38</v>
      </c>
      <c r="Z678">
        <v>27.25</v>
      </c>
      <c r="AA678">
        <v>13.88</v>
      </c>
      <c r="AB678">
        <v>4.0229999999999997</v>
      </c>
      <c r="AC678">
        <v>20.239999999999998</v>
      </c>
      <c r="AK678" t="s">
        <v>98</v>
      </c>
      <c r="AM678" t="s">
        <v>98</v>
      </c>
      <c r="AN678" t="s">
        <v>98</v>
      </c>
      <c r="AO678" t="s">
        <v>291</v>
      </c>
      <c r="AP678" t="s">
        <v>99</v>
      </c>
      <c r="AQ678" t="s">
        <v>102</v>
      </c>
      <c r="AV678" t="s">
        <v>98</v>
      </c>
      <c r="AX678" t="s">
        <v>150</v>
      </c>
      <c r="AZ678" t="s">
        <v>109</v>
      </c>
      <c r="BF678" t="s">
        <v>2164</v>
      </c>
      <c r="BG678" t="s">
        <v>98</v>
      </c>
      <c r="BH678" t="s">
        <v>98</v>
      </c>
      <c r="BI678" t="s">
        <v>98</v>
      </c>
      <c r="BJ678" t="s">
        <v>291</v>
      </c>
      <c r="BK678" t="s">
        <v>292</v>
      </c>
      <c r="BZ678" t="s">
        <v>441</v>
      </c>
      <c r="CA678" t="s">
        <v>2165</v>
      </c>
      <c r="CB678" t="s">
        <v>150</v>
      </c>
      <c r="CC678">
        <v>1256</v>
      </c>
      <c r="CD678">
        <v>0.36299999999999999</v>
      </c>
      <c r="CE678">
        <v>43.2</v>
      </c>
      <c r="CF678">
        <v>1122.0899999999999</v>
      </c>
      <c r="CL678" t="s">
        <v>98</v>
      </c>
      <c r="CM678" t="s">
        <v>98</v>
      </c>
      <c r="CN678" t="s">
        <v>349</v>
      </c>
      <c r="CO678" s="1">
        <v>42738</v>
      </c>
      <c r="CP678" s="1">
        <v>43595</v>
      </c>
    </row>
    <row r="679" spans="1:94" x14ac:dyDescent="0.25">
      <c r="A679" s="4" t="s">
        <v>2166</v>
      </c>
      <c r="B679" t="str">
        <f xml:space="preserve"> "" &amp; 706411056284</f>
        <v>706411056284</v>
      </c>
      <c r="C679" t="s">
        <v>2167</v>
      </c>
      <c r="D679" t="s">
        <v>2162</v>
      </c>
      <c r="E679" t="s">
        <v>2163</v>
      </c>
      <c r="F679" t="s">
        <v>2113</v>
      </c>
      <c r="G679">
        <v>1</v>
      </c>
      <c r="H679">
        <v>1</v>
      </c>
      <c r="I679" t="s">
        <v>97</v>
      </c>
      <c r="J679" s="32">
        <v>169.95</v>
      </c>
      <c r="K679" s="32">
        <v>509.85</v>
      </c>
      <c r="L679">
        <v>0</v>
      </c>
      <c r="N679">
        <v>0</v>
      </c>
      <c r="Q679" t="s">
        <v>291</v>
      </c>
      <c r="R679" s="32">
        <v>339.95</v>
      </c>
      <c r="T679">
        <v>16.149999999999999</v>
      </c>
      <c r="U679">
        <v>15.5</v>
      </c>
      <c r="V679">
        <v>21</v>
      </c>
      <c r="W679">
        <v>16.27</v>
      </c>
      <c r="X679">
        <v>1</v>
      </c>
      <c r="Y679">
        <v>18.38</v>
      </c>
      <c r="Z679">
        <v>27.25</v>
      </c>
      <c r="AA679">
        <v>13.88</v>
      </c>
      <c r="AB679">
        <v>4.0229999999999997</v>
      </c>
      <c r="AC679">
        <v>20.239999999999998</v>
      </c>
      <c r="AK679" t="s">
        <v>98</v>
      </c>
      <c r="AM679" t="s">
        <v>98</v>
      </c>
      <c r="AN679" t="s">
        <v>98</v>
      </c>
      <c r="AO679" t="s">
        <v>291</v>
      </c>
      <c r="AP679" t="s">
        <v>99</v>
      </c>
      <c r="AQ679" t="s">
        <v>102</v>
      </c>
      <c r="AV679" t="s">
        <v>98</v>
      </c>
      <c r="AX679" t="s">
        <v>2168</v>
      </c>
      <c r="AZ679" t="s">
        <v>109</v>
      </c>
      <c r="BF679" t="s">
        <v>2169</v>
      </c>
      <c r="BG679" t="s">
        <v>98</v>
      </c>
      <c r="BH679" t="s">
        <v>98</v>
      </c>
      <c r="BI679" t="s">
        <v>98</v>
      </c>
      <c r="BJ679" t="s">
        <v>291</v>
      </c>
      <c r="BK679" t="s">
        <v>292</v>
      </c>
      <c r="BZ679" t="s">
        <v>146</v>
      </c>
      <c r="CA679" t="s">
        <v>2165</v>
      </c>
      <c r="CB679" t="s">
        <v>2168</v>
      </c>
      <c r="CC679">
        <v>1256</v>
      </c>
      <c r="CD679">
        <v>0.36299999999999999</v>
      </c>
      <c r="CE679">
        <v>43.2</v>
      </c>
      <c r="CF679">
        <v>1122.0899999999999</v>
      </c>
      <c r="CL679" t="s">
        <v>98</v>
      </c>
      <c r="CM679" t="s">
        <v>98</v>
      </c>
      <c r="CN679" t="s">
        <v>2156</v>
      </c>
      <c r="CO679" s="1">
        <v>42747</v>
      </c>
      <c r="CP679" s="1">
        <v>43595</v>
      </c>
    </row>
    <row r="680" spans="1:94" x14ac:dyDescent="0.25">
      <c r="A680" s="4" t="s">
        <v>2170</v>
      </c>
      <c r="B680" t="str">
        <f xml:space="preserve"> "" &amp; 706411062117</f>
        <v>706411062117</v>
      </c>
      <c r="C680" t="s">
        <v>2171</v>
      </c>
      <c r="D680" t="s">
        <v>2172</v>
      </c>
      <c r="E680" t="s">
        <v>2173</v>
      </c>
      <c r="F680" t="s">
        <v>2113</v>
      </c>
      <c r="G680">
        <v>1</v>
      </c>
      <c r="H680">
        <v>1</v>
      </c>
      <c r="I680" t="s">
        <v>97</v>
      </c>
      <c r="J680" s="32">
        <v>34.950000000000003</v>
      </c>
      <c r="K680" s="32">
        <v>104.85</v>
      </c>
      <c r="L680">
        <v>0</v>
      </c>
      <c r="N680">
        <v>0</v>
      </c>
      <c r="S680">
        <v>14.75</v>
      </c>
      <c r="U680">
        <v>11.5</v>
      </c>
      <c r="W680">
        <v>5.97</v>
      </c>
      <c r="X680">
        <v>1</v>
      </c>
      <c r="Y680">
        <v>12.25</v>
      </c>
      <c r="Z680">
        <v>12.25</v>
      </c>
      <c r="AA680">
        <v>8.25</v>
      </c>
      <c r="AB680">
        <v>0.71599999999999997</v>
      </c>
      <c r="AC680">
        <v>7.05</v>
      </c>
      <c r="AK680" t="s">
        <v>98</v>
      </c>
      <c r="AM680" t="s">
        <v>98</v>
      </c>
      <c r="AN680" t="s">
        <v>291</v>
      </c>
      <c r="AO680" t="s">
        <v>98</v>
      </c>
      <c r="AP680" t="s">
        <v>99</v>
      </c>
      <c r="AQ680" t="s">
        <v>102</v>
      </c>
      <c r="AV680" t="s">
        <v>98</v>
      </c>
      <c r="AX680" t="s">
        <v>150</v>
      </c>
      <c r="AZ680" t="s">
        <v>109</v>
      </c>
      <c r="BF680" t="s">
        <v>2174</v>
      </c>
      <c r="BG680" t="s">
        <v>98</v>
      </c>
      <c r="BH680" t="s">
        <v>98</v>
      </c>
      <c r="BI680" t="s">
        <v>98</v>
      </c>
      <c r="BK680" t="s">
        <v>138</v>
      </c>
      <c r="BZ680" t="s">
        <v>150</v>
      </c>
      <c r="CA680" t="s">
        <v>2175</v>
      </c>
      <c r="CB680" t="s">
        <v>150</v>
      </c>
      <c r="CC680">
        <v>1340</v>
      </c>
      <c r="CD680">
        <v>0.23300000000000001</v>
      </c>
      <c r="CE680">
        <v>28.5</v>
      </c>
      <c r="CF680">
        <v>4750</v>
      </c>
      <c r="CL680" t="s">
        <v>98</v>
      </c>
      <c r="CM680" t="s">
        <v>98</v>
      </c>
      <c r="CN680" t="s">
        <v>2176</v>
      </c>
      <c r="CO680" s="1">
        <v>43563</v>
      </c>
      <c r="CP680" s="1">
        <v>43595</v>
      </c>
    </row>
    <row r="681" spans="1:94" x14ac:dyDescent="0.25">
      <c r="A681" s="4" t="s">
        <v>2177</v>
      </c>
      <c r="B681" t="str">
        <f xml:space="preserve"> "" &amp; 706411034312</f>
        <v>706411034312</v>
      </c>
      <c r="C681" t="s">
        <v>2178</v>
      </c>
      <c r="D681" t="s">
        <v>4481</v>
      </c>
      <c r="E681" t="str">
        <f xml:space="preserve"> "GYRO" &amp;  CHAR(153) &amp; " WET"</f>
        <v>GYRO™ WET</v>
      </c>
      <c r="F681" t="s">
        <v>2113</v>
      </c>
      <c r="G681">
        <v>1</v>
      </c>
      <c r="H681">
        <v>1</v>
      </c>
      <c r="I681" t="s">
        <v>97</v>
      </c>
      <c r="J681" s="32">
        <v>479.95</v>
      </c>
      <c r="K681" s="32">
        <v>1439.85</v>
      </c>
      <c r="L681">
        <v>0</v>
      </c>
      <c r="N681">
        <v>0</v>
      </c>
      <c r="Q681" t="s">
        <v>291</v>
      </c>
      <c r="R681" s="32">
        <v>859.95</v>
      </c>
      <c r="S681">
        <v>18.5</v>
      </c>
      <c r="T681">
        <v>42</v>
      </c>
      <c r="U681">
        <v>42</v>
      </c>
      <c r="W681">
        <v>30.09</v>
      </c>
      <c r="X681">
        <v>1</v>
      </c>
      <c r="Y681">
        <v>14.38</v>
      </c>
      <c r="Z681">
        <v>44.25</v>
      </c>
      <c r="AA681">
        <v>17.88</v>
      </c>
      <c r="AB681">
        <v>6.5839999999999996</v>
      </c>
      <c r="AC681">
        <v>39.93</v>
      </c>
      <c r="AE681">
        <v>1</v>
      </c>
      <c r="AF681" t="s">
        <v>2179</v>
      </c>
      <c r="AG681">
        <v>100</v>
      </c>
      <c r="AK681" t="s">
        <v>291</v>
      </c>
      <c r="AM681" t="s">
        <v>98</v>
      </c>
      <c r="AN681" t="s">
        <v>98</v>
      </c>
      <c r="AO681" t="s">
        <v>291</v>
      </c>
      <c r="AP681" t="s">
        <v>99</v>
      </c>
      <c r="AQ681" t="s">
        <v>102</v>
      </c>
      <c r="AV681" t="s">
        <v>98</v>
      </c>
      <c r="AX681" t="s">
        <v>159</v>
      </c>
      <c r="AZ681" t="s">
        <v>2180</v>
      </c>
      <c r="BB681" t="s">
        <v>54</v>
      </c>
      <c r="BC681" t="s">
        <v>2181</v>
      </c>
      <c r="BF681" t="s">
        <v>2182</v>
      </c>
      <c r="BG681" t="s">
        <v>98</v>
      </c>
      <c r="BH681" t="s">
        <v>98</v>
      </c>
      <c r="BI681" t="s">
        <v>98</v>
      </c>
      <c r="BJ681" t="s">
        <v>291</v>
      </c>
      <c r="BK681" t="s">
        <v>292</v>
      </c>
      <c r="BU681">
        <v>6</v>
      </c>
      <c r="BW681">
        <v>0.75</v>
      </c>
      <c r="BX681">
        <v>20</v>
      </c>
      <c r="BY681" t="s">
        <v>291</v>
      </c>
      <c r="BZ681" t="s">
        <v>441</v>
      </c>
      <c r="CA681" t="s">
        <v>2183</v>
      </c>
      <c r="CB681" t="s">
        <v>159</v>
      </c>
      <c r="CC681">
        <v>1350</v>
      </c>
      <c r="CD681">
        <v>0.85</v>
      </c>
      <c r="CE681">
        <v>102</v>
      </c>
      <c r="CF681">
        <v>5050</v>
      </c>
      <c r="CL681" t="s">
        <v>291</v>
      </c>
      <c r="CM681" t="s">
        <v>98</v>
      </c>
      <c r="CN681" t="s">
        <v>2184</v>
      </c>
      <c r="CO681" s="1">
        <v>39577</v>
      </c>
      <c r="CP681" s="1">
        <v>43595</v>
      </c>
    </row>
    <row r="682" spans="1:94" x14ac:dyDescent="0.25">
      <c r="A682" s="4" t="s">
        <v>2185</v>
      </c>
      <c r="B682" t="str">
        <f xml:space="preserve"> "" &amp; 706411025921</f>
        <v>706411025921</v>
      </c>
      <c r="C682" t="s">
        <v>2178</v>
      </c>
      <c r="D682" t="s">
        <v>4481</v>
      </c>
      <c r="E682" t="str">
        <f xml:space="preserve"> "GYRO" &amp;  CHAR(153) &amp; " WET"</f>
        <v>GYRO™ WET</v>
      </c>
      <c r="F682" t="s">
        <v>2113</v>
      </c>
      <c r="G682">
        <v>1</v>
      </c>
      <c r="H682">
        <v>1</v>
      </c>
      <c r="I682" t="s">
        <v>97</v>
      </c>
      <c r="J682" s="32">
        <v>479.95</v>
      </c>
      <c r="K682" s="32">
        <v>1439.85</v>
      </c>
      <c r="L682">
        <v>0</v>
      </c>
      <c r="N682">
        <v>0</v>
      </c>
      <c r="Q682" t="s">
        <v>291</v>
      </c>
      <c r="R682" s="32">
        <v>859.95</v>
      </c>
      <c r="S682">
        <v>18.5</v>
      </c>
      <c r="T682">
        <v>42</v>
      </c>
      <c r="U682">
        <v>42</v>
      </c>
      <c r="W682">
        <v>30.09</v>
      </c>
      <c r="X682">
        <v>1</v>
      </c>
      <c r="Y682">
        <v>14.37</v>
      </c>
      <c r="Z682">
        <v>44.29</v>
      </c>
      <c r="AA682">
        <v>17.91</v>
      </c>
      <c r="AB682">
        <v>6.6</v>
      </c>
      <c r="AC682">
        <v>39.93</v>
      </c>
      <c r="AE682">
        <v>1</v>
      </c>
      <c r="AF682" t="s">
        <v>2186</v>
      </c>
      <c r="AG682">
        <v>100</v>
      </c>
      <c r="AK682" t="s">
        <v>291</v>
      </c>
      <c r="AM682" t="s">
        <v>98</v>
      </c>
      <c r="AN682" t="s">
        <v>98</v>
      </c>
      <c r="AO682" t="s">
        <v>291</v>
      </c>
      <c r="AP682" t="s">
        <v>99</v>
      </c>
      <c r="AQ682" t="s">
        <v>102</v>
      </c>
      <c r="AV682" t="s">
        <v>98</v>
      </c>
      <c r="AX682" t="s">
        <v>245</v>
      </c>
      <c r="AZ682" t="s">
        <v>2180</v>
      </c>
      <c r="BB682" t="s">
        <v>54</v>
      </c>
      <c r="BC682" t="s">
        <v>2181</v>
      </c>
      <c r="BF682" t="s">
        <v>2187</v>
      </c>
      <c r="BG682" t="s">
        <v>98</v>
      </c>
      <c r="BH682" t="s">
        <v>98</v>
      </c>
      <c r="BI682" t="s">
        <v>98</v>
      </c>
      <c r="BJ682" t="s">
        <v>291</v>
      </c>
      <c r="BK682" t="s">
        <v>292</v>
      </c>
      <c r="BU682">
        <v>6</v>
      </c>
      <c r="BW682">
        <v>0.75</v>
      </c>
      <c r="BX682" t="s">
        <v>2188</v>
      </c>
      <c r="BY682" t="s">
        <v>291</v>
      </c>
      <c r="BZ682" t="s">
        <v>245</v>
      </c>
      <c r="CA682" t="s">
        <v>2183</v>
      </c>
      <c r="CB682" t="s">
        <v>245</v>
      </c>
      <c r="CC682">
        <v>1350</v>
      </c>
      <c r="CD682">
        <v>0.85</v>
      </c>
      <c r="CE682">
        <v>102</v>
      </c>
      <c r="CF682">
        <v>5050</v>
      </c>
      <c r="CL682" t="s">
        <v>291</v>
      </c>
      <c r="CM682" t="s">
        <v>98</v>
      </c>
      <c r="CN682" t="s">
        <v>2189</v>
      </c>
      <c r="CO682" s="1">
        <v>39036</v>
      </c>
      <c r="CP682" s="1">
        <v>43595</v>
      </c>
    </row>
    <row r="683" spans="1:94" x14ac:dyDescent="0.25">
      <c r="A683" s="4" t="s">
        <v>2190</v>
      </c>
      <c r="B683" t="str">
        <f xml:space="preserve"> "" &amp; 706411058868</f>
        <v>706411058868</v>
      </c>
      <c r="C683" t="s">
        <v>2191</v>
      </c>
      <c r="D683" t="s">
        <v>2192</v>
      </c>
      <c r="E683" t="s">
        <v>2193</v>
      </c>
      <c r="F683" t="s">
        <v>2113</v>
      </c>
      <c r="G683">
        <v>1</v>
      </c>
      <c r="H683">
        <v>1</v>
      </c>
      <c r="I683" t="s">
        <v>97</v>
      </c>
      <c r="J683" s="32">
        <v>169.95</v>
      </c>
      <c r="K683" s="32">
        <v>509.85</v>
      </c>
      <c r="L683">
        <v>0</v>
      </c>
      <c r="N683">
        <v>0</v>
      </c>
      <c r="Q683" t="s">
        <v>291</v>
      </c>
      <c r="R683" s="32">
        <v>309.95</v>
      </c>
      <c r="S683">
        <v>16</v>
      </c>
      <c r="T683">
        <v>36</v>
      </c>
      <c r="U683">
        <v>36</v>
      </c>
      <c r="W683">
        <v>14.99</v>
      </c>
      <c r="X683">
        <v>1</v>
      </c>
      <c r="Y683">
        <v>11.13</v>
      </c>
      <c r="Z683">
        <v>21.38</v>
      </c>
      <c r="AA683">
        <v>13</v>
      </c>
      <c r="AB683">
        <v>1.79</v>
      </c>
      <c r="AC683">
        <v>17.420000000000002</v>
      </c>
      <c r="AE683">
        <v>1</v>
      </c>
      <c r="AF683" t="s">
        <v>2141</v>
      </c>
      <c r="AG683">
        <v>18</v>
      </c>
      <c r="AK683" t="s">
        <v>291</v>
      </c>
      <c r="AM683" t="s">
        <v>98</v>
      </c>
      <c r="AN683" t="s">
        <v>98</v>
      </c>
      <c r="AO683" t="s">
        <v>291</v>
      </c>
      <c r="AP683" t="s">
        <v>99</v>
      </c>
      <c r="AQ683" t="s">
        <v>102</v>
      </c>
      <c r="AV683" t="s">
        <v>98</v>
      </c>
      <c r="AX683" t="s">
        <v>163</v>
      </c>
      <c r="AZ683" t="s">
        <v>535</v>
      </c>
      <c r="BB683" t="s">
        <v>106</v>
      </c>
      <c r="BC683" t="s">
        <v>302</v>
      </c>
      <c r="BF683" t="s">
        <v>2194</v>
      </c>
      <c r="BG683" t="s">
        <v>98</v>
      </c>
      <c r="BH683" t="s">
        <v>98</v>
      </c>
      <c r="BI683" t="s">
        <v>98</v>
      </c>
      <c r="BK683" t="s">
        <v>138</v>
      </c>
      <c r="BU683">
        <v>6</v>
      </c>
      <c r="BW683">
        <v>0.75</v>
      </c>
      <c r="BX683" t="s">
        <v>2195</v>
      </c>
      <c r="BY683" t="s">
        <v>291</v>
      </c>
      <c r="BZ683" t="s">
        <v>441</v>
      </c>
      <c r="CA683" t="s">
        <v>2196</v>
      </c>
      <c r="CB683" t="s">
        <v>163</v>
      </c>
      <c r="CC683">
        <v>249</v>
      </c>
      <c r="CD683">
        <v>0.31</v>
      </c>
      <c r="CE683">
        <v>21.63</v>
      </c>
      <c r="CF683">
        <v>3878</v>
      </c>
      <c r="CG683">
        <v>3000</v>
      </c>
      <c r="CH683">
        <v>90</v>
      </c>
      <c r="CI683">
        <v>1310</v>
      </c>
      <c r="CJ683">
        <v>508</v>
      </c>
      <c r="CK683">
        <v>30000</v>
      </c>
      <c r="CL683" t="s">
        <v>291</v>
      </c>
      <c r="CM683" t="s">
        <v>291</v>
      </c>
      <c r="CN683" t="s">
        <v>2197</v>
      </c>
      <c r="CO683" s="1">
        <v>43070</v>
      </c>
      <c r="CP683" s="1">
        <v>43595</v>
      </c>
    </row>
    <row r="684" spans="1:94" x14ac:dyDescent="0.25">
      <c r="A684" s="4" t="s">
        <v>2198</v>
      </c>
      <c r="B684" t="str">
        <f xml:space="preserve"> "" &amp; 706411058875</f>
        <v>706411058875</v>
      </c>
      <c r="C684" t="s">
        <v>2191</v>
      </c>
      <c r="D684" t="s">
        <v>2192</v>
      </c>
      <c r="E684" t="s">
        <v>2193</v>
      </c>
      <c r="F684" t="s">
        <v>2113</v>
      </c>
      <c r="G684">
        <v>1</v>
      </c>
      <c r="H684">
        <v>1</v>
      </c>
      <c r="I684" t="s">
        <v>97</v>
      </c>
      <c r="J684" s="32">
        <v>169.95</v>
      </c>
      <c r="K684" s="32">
        <v>509.85</v>
      </c>
      <c r="L684">
        <v>0</v>
      </c>
      <c r="N684">
        <v>0</v>
      </c>
      <c r="Q684" t="s">
        <v>291</v>
      </c>
      <c r="R684" s="32">
        <v>309.95</v>
      </c>
      <c r="S684">
        <v>16</v>
      </c>
      <c r="T684">
        <v>36</v>
      </c>
      <c r="U684">
        <v>36</v>
      </c>
      <c r="W684">
        <v>14.99</v>
      </c>
      <c r="X684">
        <v>1</v>
      </c>
      <c r="Y684">
        <v>11.13</v>
      </c>
      <c r="Z684">
        <v>21.38</v>
      </c>
      <c r="AA684">
        <v>13</v>
      </c>
      <c r="AB684">
        <v>1.79</v>
      </c>
      <c r="AC684">
        <v>17.420000000000002</v>
      </c>
      <c r="AE684">
        <v>1</v>
      </c>
      <c r="AF684" t="s">
        <v>2141</v>
      </c>
      <c r="AG684">
        <v>18</v>
      </c>
      <c r="AK684" t="s">
        <v>291</v>
      </c>
      <c r="AM684" t="s">
        <v>98</v>
      </c>
      <c r="AN684" t="s">
        <v>98</v>
      </c>
      <c r="AO684" t="s">
        <v>291</v>
      </c>
      <c r="AP684" t="s">
        <v>99</v>
      </c>
      <c r="AQ684" t="s">
        <v>102</v>
      </c>
      <c r="AV684" t="s">
        <v>98</v>
      </c>
      <c r="AX684" t="s">
        <v>245</v>
      </c>
      <c r="AZ684" t="s">
        <v>535</v>
      </c>
      <c r="BB684" t="s">
        <v>106</v>
      </c>
      <c r="BC684" t="s">
        <v>302</v>
      </c>
      <c r="BF684" t="s">
        <v>2199</v>
      </c>
      <c r="BG684" t="s">
        <v>98</v>
      </c>
      <c r="BH684" t="s">
        <v>98</v>
      </c>
      <c r="BI684" t="s">
        <v>98</v>
      </c>
      <c r="BK684" t="s">
        <v>138</v>
      </c>
      <c r="BU684">
        <v>6</v>
      </c>
      <c r="BW684">
        <v>0.75</v>
      </c>
      <c r="BX684" t="s">
        <v>2195</v>
      </c>
      <c r="BY684" t="s">
        <v>291</v>
      </c>
      <c r="BZ684" t="s">
        <v>245</v>
      </c>
      <c r="CA684" t="s">
        <v>2196</v>
      </c>
      <c r="CB684" t="s">
        <v>245</v>
      </c>
      <c r="CC684">
        <v>249</v>
      </c>
      <c r="CD684">
        <v>0.31</v>
      </c>
      <c r="CE684">
        <v>21.63</v>
      </c>
      <c r="CF684">
        <v>3879</v>
      </c>
      <c r="CG684">
        <v>3000</v>
      </c>
      <c r="CH684">
        <v>90</v>
      </c>
      <c r="CI684">
        <v>1310</v>
      </c>
      <c r="CJ684">
        <v>508</v>
      </c>
      <c r="CK684">
        <v>30000</v>
      </c>
      <c r="CL684" t="s">
        <v>291</v>
      </c>
      <c r="CM684" t="s">
        <v>291</v>
      </c>
      <c r="CN684" t="s">
        <v>2197</v>
      </c>
      <c r="CO684" s="1">
        <v>43070</v>
      </c>
      <c r="CP684" s="1">
        <v>43595</v>
      </c>
    </row>
    <row r="685" spans="1:94" x14ac:dyDescent="0.25">
      <c r="A685" s="4" t="s">
        <v>2200</v>
      </c>
      <c r="B685" t="str">
        <f xml:space="preserve"> "" &amp; 706411058882</f>
        <v>706411058882</v>
      </c>
      <c r="C685" t="s">
        <v>2191</v>
      </c>
      <c r="D685" t="s">
        <v>2192</v>
      </c>
      <c r="E685" t="s">
        <v>2193</v>
      </c>
      <c r="F685" t="s">
        <v>2113</v>
      </c>
      <c r="G685">
        <v>1</v>
      </c>
      <c r="H685">
        <v>1</v>
      </c>
      <c r="I685" t="s">
        <v>97</v>
      </c>
      <c r="J685" s="32">
        <v>169.95</v>
      </c>
      <c r="K685" s="32">
        <v>509.85</v>
      </c>
      <c r="L685">
        <v>0</v>
      </c>
      <c r="N685">
        <v>0</v>
      </c>
      <c r="Q685" t="s">
        <v>291</v>
      </c>
      <c r="R685" s="32">
        <v>309.95</v>
      </c>
      <c r="S685">
        <v>16</v>
      </c>
      <c r="T685">
        <v>36</v>
      </c>
      <c r="U685">
        <v>36</v>
      </c>
      <c r="W685">
        <v>14.99</v>
      </c>
      <c r="X685">
        <v>1</v>
      </c>
      <c r="Y685">
        <v>11.13</v>
      </c>
      <c r="Z685">
        <v>21.38</v>
      </c>
      <c r="AA685">
        <v>13</v>
      </c>
      <c r="AB685">
        <v>1.79</v>
      </c>
      <c r="AC685">
        <v>17.420000000000002</v>
      </c>
      <c r="AE685">
        <v>1</v>
      </c>
      <c r="AF685" t="s">
        <v>2141</v>
      </c>
      <c r="AG685">
        <v>18</v>
      </c>
      <c r="AK685" t="s">
        <v>291</v>
      </c>
      <c r="AM685" t="s">
        <v>98</v>
      </c>
      <c r="AN685" t="s">
        <v>98</v>
      </c>
      <c r="AO685" t="s">
        <v>291</v>
      </c>
      <c r="AP685" t="s">
        <v>99</v>
      </c>
      <c r="AQ685" t="s">
        <v>102</v>
      </c>
      <c r="AV685" t="s">
        <v>98</v>
      </c>
      <c r="AX685" t="s">
        <v>302</v>
      </c>
      <c r="AZ685" t="s">
        <v>535</v>
      </c>
      <c r="BB685" t="s">
        <v>106</v>
      </c>
      <c r="BC685" t="s">
        <v>302</v>
      </c>
      <c r="BF685" t="s">
        <v>2201</v>
      </c>
      <c r="BG685" t="s">
        <v>98</v>
      </c>
      <c r="BH685" t="s">
        <v>98</v>
      </c>
      <c r="BI685" t="s">
        <v>98</v>
      </c>
      <c r="BK685" t="s">
        <v>138</v>
      </c>
      <c r="BU685">
        <v>6</v>
      </c>
      <c r="BW685">
        <v>0.75</v>
      </c>
      <c r="BX685" t="s">
        <v>2195</v>
      </c>
      <c r="BY685" t="s">
        <v>291</v>
      </c>
      <c r="BZ685" t="s">
        <v>302</v>
      </c>
      <c r="CA685" t="s">
        <v>2196</v>
      </c>
      <c r="CB685" t="s">
        <v>302</v>
      </c>
      <c r="CC685">
        <v>249</v>
      </c>
      <c r="CD685">
        <v>0.31</v>
      </c>
      <c r="CE685">
        <v>21.63</v>
      </c>
      <c r="CF685">
        <v>3879</v>
      </c>
      <c r="CG685">
        <v>3000</v>
      </c>
      <c r="CH685">
        <v>90</v>
      </c>
      <c r="CI685">
        <v>1310</v>
      </c>
      <c r="CJ685">
        <v>508</v>
      </c>
      <c r="CK685">
        <v>30000</v>
      </c>
      <c r="CL685" t="s">
        <v>291</v>
      </c>
      <c r="CM685" t="s">
        <v>291</v>
      </c>
      <c r="CN685" t="s">
        <v>2197</v>
      </c>
      <c r="CO685" s="1">
        <v>43070</v>
      </c>
      <c r="CP685" s="1">
        <v>43595</v>
      </c>
    </row>
    <row r="686" spans="1:94" x14ac:dyDescent="0.25">
      <c r="A686" s="4" t="s">
        <v>2202</v>
      </c>
      <c r="B686" t="str">
        <f xml:space="preserve"> "" &amp; 706411055959</f>
        <v>706411055959</v>
      </c>
      <c r="C686" t="s">
        <v>2203</v>
      </c>
      <c r="D686" t="s">
        <v>4465</v>
      </c>
      <c r="E686" t="str">
        <f xml:space="preserve"> "CONCEPT" &amp;  CHAR(153) &amp; " II WET 52"" LED"</f>
        <v>CONCEPT™ II WET 52" LED</v>
      </c>
      <c r="F686" t="s">
        <v>2113</v>
      </c>
      <c r="G686">
        <v>1</v>
      </c>
      <c r="H686">
        <v>1</v>
      </c>
      <c r="I686" t="s">
        <v>97</v>
      </c>
      <c r="J686" s="32">
        <v>189.95</v>
      </c>
      <c r="K686" s="32">
        <v>569.85</v>
      </c>
      <c r="L686">
        <v>0</v>
      </c>
      <c r="N686">
        <v>0</v>
      </c>
      <c r="Q686" t="s">
        <v>291</v>
      </c>
      <c r="R686" s="32">
        <v>339.95</v>
      </c>
      <c r="S686">
        <v>12</v>
      </c>
      <c r="T686">
        <v>52</v>
      </c>
      <c r="U686">
        <v>52</v>
      </c>
      <c r="W686">
        <v>29.87</v>
      </c>
      <c r="X686">
        <v>1</v>
      </c>
      <c r="Y686">
        <v>12.88</v>
      </c>
      <c r="Z686">
        <v>24.38</v>
      </c>
      <c r="AA686">
        <v>13.5</v>
      </c>
      <c r="AB686">
        <v>2.4529999999999998</v>
      </c>
      <c r="AC686">
        <v>33.29</v>
      </c>
      <c r="AE686">
        <v>1</v>
      </c>
      <c r="AF686" t="s">
        <v>2141</v>
      </c>
      <c r="AG686">
        <v>14</v>
      </c>
      <c r="AK686" t="s">
        <v>291</v>
      </c>
      <c r="AM686" t="s">
        <v>98</v>
      </c>
      <c r="AN686" t="s">
        <v>98</v>
      </c>
      <c r="AO686" t="s">
        <v>291</v>
      </c>
      <c r="AP686" t="s">
        <v>99</v>
      </c>
      <c r="AQ686" t="s">
        <v>102</v>
      </c>
      <c r="AV686" t="s">
        <v>98</v>
      </c>
      <c r="AX686" t="s">
        <v>159</v>
      </c>
      <c r="AZ686" t="s">
        <v>109</v>
      </c>
      <c r="BB686" t="s">
        <v>106</v>
      </c>
      <c r="BC686" t="s">
        <v>2204</v>
      </c>
      <c r="BF686" t="s">
        <v>2205</v>
      </c>
      <c r="BG686" t="s">
        <v>98</v>
      </c>
      <c r="BH686" t="s">
        <v>98</v>
      </c>
      <c r="BI686" t="s">
        <v>98</v>
      </c>
      <c r="BJ686" t="s">
        <v>291</v>
      </c>
      <c r="BK686" t="s">
        <v>292</v>
      </c>
      <c r="BX686" t="s">
        <v>2206</v>
      </c>
      <c r="BY686" t="s">
        <v>291</v>
      </c>
      <c r="BZ686" t="s">
        <v>441</v>
      </c>
      <c r="CA686" t="s">
        <v>2207</v>
      </c>
      <c r="CB686" t="s">
        <v>159</v>
      </c>
      <c r="CC686">
        <v>170</v>
      </c>
      <c r="CD686">
        <v>0.44900000000000001</v>
      </c>
      <c r="CE686">
        <v>53.7</v>
      </c>
      <c r="CF686">
        <v>5363</v>
      </c>
      <c r="CG686">
        <v>3000</v>
      </c>
      <c r="CH686">
        <v>83</v>
      </c>
      <c r="CI686">
        <v>1363</v>
      </c>
      <c r="CJ686">
        <v>620</v>
      </c>
      <c r="CK686">
        <v>30000</v>
      </c>
      <c r="CL686" t="s">
        <v>291</v>
      </c>
      <c r="CM686" t="s">
        <v>98</v>
      </c>
      <c r="CN686" t="s">
        <v>2208</v>
      </c>
      <c r="CO686" s="1">
        <v>42804</v>
      </c>
      <c r="CP686" s="1">
        <v>43595</v>
      </c>
    </row>
    <row r="687" spans="1:94" x14ac:dyDescent="0.25">
      <c r="A687" s="4" t="s">
        <v>2209</v>
      </c>
      <c r="B687" t="str">
        <f xml:space="preserve"> "" &amp; 706411055744</f>
        <v>706411055744</v>
      </c>
      <c r="C687" t="s">
        <v>2203</v>
      </c>
      <c r="D687" t="s">
        <v>4465</v>
      </c>
      <c r="E687" t="str">
        <f xml:space="preserve"> "CONCEPT" &amp;  CHAR(153) &amp; " II WET 52"" LED"</f>
        <v>CONCEPT™ II WET 52" LED</v>
      </c>
      <c r="F687" t="s">
        <v>2113</v>
      </c>
      <c r="G687">
        <v>1</v>
      </c>
      <c r="H687">
        <v>1</v>
      </c>
      <c r="I687" t="s">
        <v>97</v>
      </c>
      <c r="J687" s="32">
        <v>189.95</v>
      </c>
      <c r="K687" s="32">
        <v>569.85</v>
      </c>
      <c r="L687">
        <v>0</v>
      </c>
      <c r="N687">
        <v>0</v>
      </c>
      <c r="Q687" t="s">
        <v>291</v>
      </c>
      <c r="R687" s="32">
        <v>339.95</v>
      </c>
      <c r="S687">
        <v>12</v>
      </c>
      <c r="T687">
        <v>52</v>
      </c>
      <c r="U687">
        <v>52</v>
      </c>
      <c r="W687">
        <v>26.06</v>
      </c>
      <c r="X687">
        <v>1</v>
      </c>
      <c r="Y687">
        <v>12.88</v>
      </c>
      <c r="Z687">
        <v>24.38</v>
      </c>
      <c r="AA687">
        <v>13.5</v>
      </c>
      <c r="AB687">
        <v>2.4529999999999998</v>
      </c>
      <c r="AC687">
        <v>29.83</v>
      </c>
      <c r="AE687">
        <v>1</v>
      </c>
      <c r="AF687" t="s">
        <v>2141</v>
      </c>
      <c r="AG687">
        <v>15</v>
      </c>
      <c r="AK687" t="s">
        <v>291</v>
      </c>
      <c r="AM687" t="s">
        <v>98</v>
      </c>
      <c r="AN687" t="s">
        <v>98</v>
      </c>
      <c r="AO687" t="s">
        <v>98</v>
      </c>
      <c r="AP687" t="s">
        <v>99</v>
      </c>
      <c r="AQ687" t="s">
        <v>102</v>
      </c>
      <c r="AV687" t="s">
        <v>98</v>
      </c>
      <c r="AX687" t="s">
        <v>245</v>
      </c>
      <c r="AZ687" t="s">
        <v>109</v>
      </c>
      <c r="BB687" t="s">
        <v>106</v>
      </c>
      <c r="BC687" t="s">
        <v>2210</v>
      </c>
      <c r="BF687" t="s">
        <v>2211</v>
      </c>
      <c r="BG687" t="s">
        <v>98</v>
      </c>
      <c r="BH687" t="s">
        <v>98</v>
      </c>
      <c r="BI687" t="s">
        <v>98</v>
      </c>
      <c r="BJ687" t="s">
        <v>291</v>
      </c>
      <c r="BK687" t="s">
        <v>292</v>
      </c>
      <c r="BX687" t="s">
        <v>2206</v>
      </c>
      <c r="BY687" t="s">
        <v>291</v>
      </c>
      <c r="BZ687" t="s">
        <v>2212</v>
      </c>
      <c r="CA687" t="s">
        <v>2207</v>
      </c>
      <c r="CB687" t="s">
        <v>245</v>
      </c>
      <c r="CC687">
        <v>170</v>
      </c>
      <c r="CD687">
        <v>0.43</v>
      </c>
      <c r="CE687">
        <v>51.3</v>
      </c>
      <c r="CF687">
        <v>6053</v>
      </c>
      <c r="CI687">
        <v>1218</v>
      </c>
      <c r="CJ687">
        <v>353</v>
      </c>
      <c r="CK687">
        <v>30000</v>
      </c>
      <c r="CL687" t="s">
        <v>291</v>
      </c>
      <c r="CM687" t="s">
        <v>98</v>
      </c>
      <c r="CO687" s="1">
        <v>42804</v>
      </c>
      <c r="CP687" s="1">
        <v>43595</v>
      </c>
    </row>
    <row r="688" spans="1:94" x14ac:dyDescent="0.25">
      <c r="A688" s="4" t="s">
        <v>2213</v>
      </c>
      <c r="B688" t="str">
        <f xml:space="preserve"> "" &amp; 706411055751</f>
        <v>706411055751</v>
      </c>
      <c r="C688" t="s">
        <v>2203</v>
      </c>
      <c r="D688" t="s">
        <v>4465</v>
      </c>
      <c r="E688" t="str">
        <f xml:space="preserve"> "CONCEPT" &amp;  CHAR(153) &amp; " II WET 52"" LED"</f>
        <v>CONCEPT™ II WET 52" LED</v>
      </c>
      <c r="F688" t="s">
        <v>2113</v>
      </c>
      <c r="G688">
        <v>1</v>
      </c>
      <c r="H688">
        <v>1</v>
      </c>
      <c r="I688" t="s">
        <v>97</v>
      </c>
      <c r="J688" s="32">
        <v>184.95</v>
      </c>
      <c r="K688" s="32">
        <v>554.85</v>
      </c>
      <c r="L688">
        <v>0</v>
      </c>
      <c r="N688">
        <v>0</v>
      </c>
      <c r="Q688" t="s">
        <v>291</v>
      </c>
      <c r="R688" s="32">
        <v>339.95</v>
      </c>
      <c r="S688">
        <v>12</v>
      </c>
      <c r="T688">
        <v>52</v>
      </c>
      <c r="U688">
        <v>52</v>
      </c>
      <c r="W688">
        <v>27.12</v>
      </c>
      <c r="X688">
        <v>1</v>
      </c>
      <c r="Y688">
        <v>12.88</v>
      </c>
      <c r="Z688">
        <v>24.38</v>
      </c>
      <c r="AA688">
        <v>13.5</v>
      </c>
      <c r="AB688">
        <v>2.4529999999999998</v>
      </c>
      <c r="AC688">
        <v>29.83</v>
      </c>
      <c r="AE688">
        <v>1</v>
      </c>
      <c r="AF688" t="s">
        <v>2141</v>
      </c>
      <c r="AG688">
        <v>14</v>
      </c>
      <c r="AK688" t="s">
        <v>291</v>
      </c>
      <c r="AM688" t="s">
        <v>98</v>
      </c>
      <c r="AN688" t="s">
        <v>98</v>
      </c>
      <c r="AO688" t="s">
        <v>291</v>
      </c>
      <c r="AP688" t="s">
        <v>99</v>
      </c>
      <c r="AQ688" t="s">
        <v>102</v>
      </c>
      <c r="AV688" t="s">
        <v>98</v>
      </c>
      <c r="AX688" t="s">
        <v>302</v>
      </c>
      <c r="AZ688" t="s">
        <v>109</v>
      </c>
      <c r="BB688" t="s">
        <v>106</v>
      </c>
      <c r="BC688" t="s">
        <v>302</v>
      </c>
      <c r="BF688" t="s">
        <v>2214</v>
      </c>
      <c r="BG688" t="s">
        <v>98</v>
      </c>
      <c r="BH688" t="s">
        <v>98</v>
      </c>
      <c r="BI688" t="s">
        <v>98</v>
      </c>
      <c r="BJ688" t="s">
        <v>291</v>
      </c>
      <c r="BK688" t="s">
        <v>292</v>
      </c>
      <c r="BX688" t="s">
        <v>2206</v>
      </c>
      <c r="BY688" t="s">
        <v>291</v>
      </c>
      <c r="BZ688" t="s">
        <v>302</v>
      </c>
      <c r="CA688" t="s">
        <v>2207</v>
      </c>
      <c r="CB688" t="s">
        <v>302</v>
      </c>
      <c r="CC688">
        <v>170</v>
      </c>
      <c r="CD688">
        <v>0.44900000000000001</v>
      </c>
      <c r="CE688">
        <v>53.7</v>
      </c>
      <c r="CF688">
        <v>5363</v>
      </c>
      <c r="CG688">
        <v>3000</v>
      </c>
      <c r="CH688">
        <v>84</v>
      </c>
      <c r="CI688">
        <v>1218</v>
      </c>
      <c r="CJ688">
        <v>620</v>
      </c>
      <c r="CK688">
        <v>30000</v>
      </c>
      <c r="CL688" t="s">
        <v>291</v>
      </c>
      <c r="CM688" t="s">
        <v>98</v>
      </c>
      <c r="CN688" t="s">
        <v>2208</v>
      </c>
      <c r="CO688" s="1">
        <v>42804</v>
      </c>
      <c r="CP688" s="1">
        <v>43595</v>
      </c>
    </row>
    <row r="689" spans="1:94" x14ac:dyDescent="0.25">
      <c r="A689" s="4" t="s">
        <v>2215</v>
      </c>
      <c r="B689" t="str">
        <f xml:space="preserve"> "" &amp; 706411055966</f>
        <v>706411055966</v>
      </c>
      <c r="C689" t="s">
        <v>2216</v>
      </c>
      <c r="D689" t="s">
        <v>4461</v>
      </c>
      <c r="E689" t="str">
        <f xml:space="preserve"> "CONCEPT" &amp;  CHAR(153) &amp; " l WET 52"" LED"</f>
        <v>CONCEPT™ l WET 52" LED</v>
      </c>
      <c r="F689" t="s">
        <v>2113</v>
      </c>
      <c r="G689">
        <v>1</v>
      </c>
      <c r="H689">
        <v>1</v>
      </c>
      <c r="I689" t="s">
        <v>97</v>
      </c>
      <c r="J689" s="32">
        <v>184.95</v>
      </c>
      <c r="K689" s="32">
        <v>554.85</v>
      </c>
      <c r="L689">
        <v>0</v>
      </c>
      <c r="N689">
        <v>0</v>
      </c>
      <c r="Q689" t="s">
        <v>291</v>
      </c>
      <c r="R689" s="32">
        <v>339.95</v>
      </c>
      <c r="S689">
        <v>20.5</v>
      </c>
      <c r="T689">
        <v>52</v>
      </c>
      <c r="U689">
        <v>52</v>
      </c>
      <c r="W689">
        <v>28.88</v>
      </c>
      <c r="X689">
        <v>1</v>
      </c>
      <c r="Y689">
        <v>13</v>
      </c>
      <c r="Z689">
        <v>24.38</v>
      </c>
      <c r="AA689">
        <v>13.5</v>
      </c>
      <c r="AB689">
        <v>2.476</v>
      </c>
      <c r="AC689">
        <v>31.81</v>
      </c>
      <c r="AE689">
        <v>1</v>
      </c>
      <c r="AF689" t="s">
        <v>2141</v>
      </c>
      <c r="AG689">
        <v>14</v>
      </c>
      <c r="AK689" t="s">
        <v>291</v>
      </c>
      <c r="AM689" t="s">
        <v>98</v>
      </c>
      <c r="AN689" t="s">
        <v>98</v>
      </c>
      <c r="AO689" t="s">
        <v>291</v>
      </c>
      <c r="AP689" t="s">
        <v>99</v>
      </c>
      <c r="AQ689" t="s">
        <v>102</v>
      </c>
      <c r="AV689" t="s">
        <v>98</v>
      </c>
      <c r="AX689" t="s">
        <v>159</v>
      </c>
      <c r="AZ689" t="s">
        <v>109</v>
      </c>
      <c r="BB689" t="s">
        <v>106</v>
      </c>
      <c r="BC689" t="s">
        <v>2204</v>
      </c>
      <c r="BF689" t="s">
        <v>2217</v>
      </c>
      <c r="BG689" t="s">
        <v>98</v>
      </c>
      <c r="BH689" t="s">
        <v>98</v>
      </c>
      <c r="BI689" t="s">
        <v>98</v>
      </c>
      <c r="BJ689" t="s">
        <v>291</v>
      </c>
      <c r="BK689" t="s">
        <v>292</v>
      </c>
      <c r="BU689">
        <v>6</v>
      </c>
      <c r="BW689">
        <v>0.75</v>
      </c>
      <c r="BX689" t="s">
        <v>2218</v>
      </c>
      <c r="BY689" t="s">
        <v>291</v>
      </c>
      <c r="BZ689" t="s">
        <v>159</v>
      </c>
      <c r="CA689" t="s">
        <v>2219</v>
      </c>
      <c r="CB689" t="s">
        <v>159</v>
      </c>
      <c r="CC689">
        <v>188</v>
      </c>
      <c r="CD689">
        <v>0.439</v>
      </c>
      <c r="CE689">
        <v>52.42</v>
      </c>
      <c r="CF689">
        <v>5389</v>
      </c>
      <c r="CG689">
        <v>3000</v>
      </c>
      <c r="CH689">
        <v>84</v>
      </c>
      <c r="CI689">
        <v>1363</v>
      </c>
      <c r="CJ689">
        <v>620</v>
      </c>
      <c r="CK689">
        <v>30000</v>
      </c>
      <c r="CL689" t="s">
        <v>291</v>
      </c>
      <c r="CM689" t="s">
        <v>291</v>
      </c>
      <c r="CN689" t="s">
        <v>2208</v>
      </c>
      <c r="CO689" s="1">
        <v>42804</v>
      </c>
      <c r="CP689" s="1">
        <v>43595</v>
      </c>
    </row>
    <row r="690" spans="1:94" x14ac:dyDescent="0.25">
      <c r="A690" s="4" t="s">
        <v>2220</v>
      </c>
      <c r="B690" t="str">
        <f xml:space="preserve"> "" &amp; 706411055768</f>
        <v>706411055768</v>
      </c>
      <c r="C690" t="s">
        <v>2216</v>
      </c>
      <c r="D690" t="s">
        <v>4461</v>
      </c>
      <c r="E690" t="str">
        <f xml:space="preserve"> "CONCEPT" &amp;  CHAR(153) &amp; " l WET 52"" LED"</f>
        <v>CONCEPT™ l WET 52" LED</v>
      </c>
      <c r="F690" t="s">
        <v>2113</v>
      </c>
      <c r="G690">
        <v>1</v>
      </c>
      <c r="H690">
        <v>1</v>
      </c>
      <c r="I690" t="s">
        <v>97</v>
      </c>
      <c r="J690" s="32">
        <v>184.95</v>
      </c>
      <c r="K690" s="32">
        <v>554.85</v>
      </c>
      <c r="L690">
        <v>0</v>
      </c>
      <c r="N690">
        <v>0</v>
      </c>
      <c r="Q690" t="s">
        <v>291</v>
      </c>
      <c r="R690" s="32">
        <v>339.95</v>
      </c>
      <c r="S690">
        <v>20.5</v>
      </c>
      <c r="T690">
        <v>52</v>
      </c>
      <c r="U690">
        <v>52</v>
      </c>
      <c r="W690">
        <v>25.57</v>
      </c>
      <c r="X690">
        <v>1</v>
      </c>
      <c r="Y690">
        <v>13</v>
      </c>
      <c r="Z690">
        <v>24.38</v>
      </c>
      <c r="AA690">
        <v>13.5</v>
      </c>
      <c r="AB690">
        <v>2.476</v>
      </c>
      <c r="AC690">
        <v>29.06</v>
      </c>
      <c r="AE690">
        <v>1</v>
      </c>
      <c r="AF690" t="s">
        <v>2141</v>
      </c>
      <c r="AG690">
        <v>14</v>
      </c>
      <c r="AK690" t="s">
        <v>291</v>
      </c>
      <c r="AM690" t="s">
        <v>98</v>
      </c>
      <c r="AN690" t="s">
        <v>98</v>
      </c>
      <c r="AO690" t="s">
        <v>291</v>
      </c>
      <c r="AP690" t="s">
        <v>99</v>
      </c>
      <c r="AQ690" t="s">
        <v>102</v>
      </c>
      <c r="AV690" t="s">
        <v>98</v>
      </c>
      <c r="AX690" t="s">
        <v>245</v>
      </c>
      <c r="AZ690" t="s">
        <v>109</v>
      </c>
      <c r="BB690" t="s">
        <v>106</v>
      </c>
      <c r="BC690" t="s">
        <v>2210</v>
      </c>
      <c r="BF690" t="s">
        <v>2221</v>
      </c>
      <c r="BG690" t="s">
        <v>98</v>
      </c>
      <c r="BH690" t="s">
        <v>98</v>
      </c>
      <c r="BI690" t="s">
        <v>98</v>
      </c>
      <c r="BJ690" t="s">
        <v>291</v>
      </c>
      <c r="BK690" t="s">
        <v>292</v>
      </c>
      <c r="BU690">
        <v>6</v>
      </c>
      <c r="BW690">
        <v>0.75</v>
      </c>
      <c r="BX690" t="s">
        <v>2218</v>
      </c>
      <c r="BY690" t="s">
        <v>291</v>
      </c>
      <c r="BZ690" t="s">
        <v>2212</v>
      </c>
      <c r="CA690" t="s">
        <v>2219</v>
      </c>
      <c r="CB690" t="s">
        <v>245</v>
      </c>
      <c r="CC690">
        <v>188</v>
      </c>
      <c r="CD690">
        <v>0.439</v>
      </c>
      <c r="CE690">
        <v>52.42</v>
      </c>
      <c r="CF690">
        <v>5389</v>
      </c>
      <c r="CG690">
        <v>3000</v>
      </c>
      <c r="CH690">
        <v>83</v>
      </c>
      <c r="CI690">
        <v>1363</v>
      </c>
      <c r="CJ690">
        <v>353</v>
      </c>
      <c r="CK690">
        <v>30000</v>
      </c>
      <c r="CL690" t="s">
        <v>291</v>
      </c>
      <c r="CM690" t="s">
        <v>291</v>
      </c>
      <c r="CN690" t="s">
        <v>2208</v>
      </c>
      <c r="CO690" s="1">
        <v>42804</v>
      </c>
      <c r="CP690" s="1">
        <v>43595</v>
      </c>
    </row>
    <row r="691" spans="1:94" x14ac:dyDescent="0.25">
      <c r="A691" s="4" t="s">
        <v>2222</v>
      </c>
      <c r="B691" t="str">
        <f xml:space="preserve"> "" &amp; 706411055775</f>
        <v>706411055775</v>
      </c>
      <c r="C691" t="s">
        <v>2216</v>
      </c>
      <c r="D691" t="s">
        <v>4461</v>
      </c>
      <c r="E691" t="str">
        <f xml:space="preserve"> "CONCEPT" &amp;  CHAR(153) &amp; " l WET 52"" LED"</f>
        <v>CONCEPT™ l WET 52" LED</v>
      </c>
      <c r="F691" t="s">
        <v>2113</v>
      </c>
      <c r="G691">
        <v>1</v>
      </c>
      <c r="H691">
        <v>1</v>
      </c>
      <c r="I691" t="s">
        <v>97</v>
      </c>
      <c r="J691" s="32">
        <v>179.95</v>
      </c>
      <c r="K691" s="32">
        <v>539.85</v>
      </c>
      <c r="L691">
        <v>0</v>
      </c>
      <c r="N691">
        <v>0</v>
      </c>
      <c r="Q691" t="s">
        <v>291</v>
      </c>
      <c r="R691" s="32">
        <v>339.95</v>
      </c>
      <c r="S691">
        <v>20.5</v>
      </c>
      <c r="T691">
        <v>52</v>
      </c>
      <c r="U691">
        <v>52</v>
      </c>
      <c r="W691">
        <v>24.91</v>
      </c>
      <c r="X691">
        <v>1</v>
      </c>
      <c r="Y691">
        <v>13</v>
      </c>
      <c r="Z691">
        <v>24.38</v>
      </c>
      <c r="AA691">
        <v>13.5</v>
      </c>
      <c r="AB691">
        <v>2.476</v>
      </c>
      <c r="AC691">
        <v>27.56</v>
      </c>
      <c r="AE691">
        <v>1</v>
      </c>
      <c r="AF691" t="s">
        <v>2141</v>
      </c>
      <c r="AG691">
        <v>15</v>
      </c>
      <c r="AK691" t="s">
        <v>291</v>
      </c>
      <c r="AM691" t="s">
        <v>98</v>
      </c>
      <c r="AN691" t="s">
        <v>98</v>
      </c>
      <c r="AO691" t="s">
        <v>291</v>
      </c>
      <c r="AP691" t="s">
        <v>99</v>
      </c>
      <c r="AQ691" t="s">
        <v>102</v>
      </c>
      <c r="AV691" t="s">
        <v>98</v>
      </c>
      <c r="AX691" t="s">
        <v>302</v>
      </c>
      <c r="AZ691" t="s">
        <v>109</v>
      </c>
      <c r="BB691" t="s">
        <v>106</v>
      </c>
      <c r="BC691" t="s">
        <v>2204</v>
      </c>
      <c r="BF691" t="s">
        <v>2223</v>
      </c>
      <c r="BG691" t="s">
        <v>98</v>
      </c>
      <c r="BH691" t="s">
        <v>98</v>
      </c>
      <c r="BI691" t="s">
        <v>98</v>
      </c>
      <c r="BJ691" t="s">
        <v>291</v>
      </c>
      <c r="BK691" t="s">
        <v>292</v>
      </c>
      <c r="BU691">
        <v>6</v>
      </c>
      <c r="BW691">
        <v>0.75</v>
      </c>
      <c r="BX691" t="s">
        <v>2206</v>
      </c>
      <c r="BY691" t="s">
        <v>291</v>
      </c>
      <c r="BZ691" t="s">
        <v>302</v>
      </c>
      <c r="CA691" t="s">
        <v>2219</v>
      </c>
      <c r="CB691" t="s">
        <v>302</v>
      </c>
      <c r="CC691">
        <v>188</v>
      </c>
      <c r="CD691">
        <v>0.439</v>
      </c>
      <c r="CE691">
        <v>52.42</v>
      </c>
      <c r="CF691">
        <v>5389</v>
      </c>
      <c r="CG691">
        <v>3000</v>
      </c>
      <c r="CH691">
        <v>84</v>
      </c>
      <c r="CI691">
        <v>1363</v>
      </c>
      <c r="CJ691">
        <v>620</v>
      </c>
      <c r="CK691">
        <v>30000</v>
      </c>
      <c r="CL691" t="s">
        <v>291</v>
      </c>
      <c r="CM691" t="s">
        <v>291</v>
      </c>
      <c r="CN691" t="s">
        <v>2156</v>
      </c>
      <c r="CO691" s="1">
        <v>42838</v>
      </c>
      <c r="CP691" s="1">
        <v>43595</v>
      </c>
    </row>
    <row r="692" spans="1:94" x14ac:dyDescent="0.25">
      <c r="A692" s="4" t="s">
        <v>2224</v>
      </c>
      <c r="B692" t="str">
        <f xml:space="preserve"> "" &amp; 706411055805</f>
        <v>706411055805</v>
      </c>
      <c r="C692" t="s">
        <v>2225</v>
      </c>
      <c r="D692" t="s">
        <v>4462</v>
      </c>
      <c r="E692" t="str">
        <f xml:space="preserve"> "CONCEPT" &amp;  CHAR(153) &amp; " 1 WET 58"" LED"</f>
        <v>CONCEPT™ 1 WET 58" LED</v>
      </c>
      <c r="F692" t="s">
        <v>2113</v>
      </c>
      <c r="G692">
        <v>1</v>
      </c>
      <c r="H692">
        <v>1</v>
      </c>
      <c r="I692" t="s">
        <v>97</v>
      </c>
      <c r="J692" s="32">
        <v>269.95</v>
      </c>
      <c r="K692" s="32">
        <v>809.85</v>
      </c>
      <c r="L692">
        <v>0</v>
      </c>
      <c r="N692">
        <v>0</v>
      </c>
      <c r="Q692" t="s">
        <v>291</v>
      </c>
      <c r="R692" s="32">
        <v>539.95000000000005</v>
      </c>
      <c r="S692">
        <v>18.5</v>
      </c>
      <c r="T692">
        <v>58</v>
      </c>
      <c r="U692">
        <v>58</v>
      </c>
      <c r="W692">
        <v>28.13</v>
      </c>
      <c r="X692">
        <v>1</v>
      </c>
      <c r="Y692">
        <v>12.88</v>
      </c>
      <c r="Z692">
        <v>26.13</v>
      </c>
      <c r="AA692">
        <v>13.38</v>
      </c>
      <c r="AB692">
        <v>2.6059999999999999</v>
      </c>
      <c r="AC692">
        <v>14.55</v>
      </c>
      <c r="AE692">
        <v>1</v>
      </c>
      <c r="AF692" t="s">
        <v>2141</v>
      </c>
      <c r="AG692">
        <v>14</v>
      </c>
      <c r="AK692" t="s">
        <v>291</v>
      </c>
      <c r="AM692" t="s">
        <v>98</v>
      </c>
      <c r="AN692" t="s">
        <v>98</v>
      </c>
      <c r="AO692" t="s">
        <v>291</v>
      </c>
      <c r="AP692" t="s">
        <v>99</v>
      </c>
      <c r="AQ692" t="s">
        <v>102</v>
      </c>
      <c r="AV692" t="s">
        <v>98</v>
      </c>
      <c r="AX692" t="s">
        <v>159</v>
      </c>
      <c r="AZ692" t="s">
        <v>109</v>
      </c>
      <c r="BB692" t="s">
        <v>106</v>
      </c>
      <c r="BC692" t="s">
        <v>2204</v>
      </c>
      <c r="BF692" t="s">
        <v>2226</v>
      </c>
      <c r="BG692" t="s">
        <v>98</v>
      </c>
      <c r="BH692" t="s">
        <v>98</v>
      </c>
      <c r="BI692" t="s">
        <v>98</v>
      </c>
      <c r="BJ692" t="s">
        <v>291</v>
      </c>
      <c r="BK692" t="s">
        <v>292</v>
      </c>
      <c r="BU692">
        <v>6</v>
      </c>
      <c r="BW692">
        <v>0.75</v>
      </c>
      <c r="BX692" t="s">
        <v>2218</v>
      </c>
      <c r="BY692" t="s">
        <v>291</v>
      </c>
      <c r="BZ692" t="s">
        <v>159</v>
      </c>
      <c r="CA692" t="s">
        <v>2227</v>
      </c>
      <c r="CB692" t="s">
        <v>159</v>
      </c>
      <c r="CC692">
        <v>143</v>
      </c>
      <c r="CD692">
        <v>0.54700000000000004</v>
      </c>
      <c r="CE692">
        <v>63.11</v>
      </c>
      <c r="CF692">
        <v>5491</v>
      </c>
      <c r="CG692">
        <v>3000</v>
      </c>
      <c r="CH692">
        <v>84</v>
      </c>
      <c r="CI692">
        <v>1363</v>
      </c>
      <c r="CJ692">
        <v>601</v>
      </c>
      <c r="CK692">
        <v>30000</v>
      </c>
      <c r="CL692" t="s">
        <v>291</v>
      </c>
      <c r="CM692" t="s">
        <v>291</v>
      </c>
      <c r="CN692" t="s">
        <v>2228</v>
      </c>
      <c r="CO692" s="1">
        <v>42804</v>
      </c>
      <c r="CP692" s="1">
        <v>43595</v>
      </c>
    </row>
    <row r="693" spans="1:94" x14ac:dyDescent="0.25">
      <c r="A693" s="4" t="s">
        <v>2229</v>
      </c>
      <c r="B693" t="str">
        <f xml:space="preserve"> "" &amp; 706411055782</f>
        <v>706411055782</v>
      </c>
      <c r="C693" t="s">
        <v>2225</v>
      </c>
      <c r="D693" t="s">
        <v>4462</v>
      </c>
      <c r="E693" t="str">
        <f xml:space="preserve"> "CONCEPT" &amp;  CHAR(153) &amp; " 1 WET 58"" LED"</f>
        <v>CONCEPT™ 1 WET 58" LED</v>
      </c>
      <c r="F693" t="s">
        <v>2113</v>
      </c>
      <c r="G693">
        <v>1</v>
      </c>
      <c r="H693">
        <v>1</v>
      </c>
      <c r="I693" t="s">
        <v>97</v>
      </c>
      <c r="J693" s="32">
        <v>269.95</v>
      </c>
      <c r="K693" s="32">
        <v>809.85</v>
      </c>
      <c r="L693">
        <v>0</v>
      </c>
      <c r="N693">
        <v>0</v>
      </c>
      <c r="Q693" t="s">
        <v>291</v>
      </c>
      <c r="R693" s="32">
        <v>539.95000000000005</v>
      </c>
      <c r="S693">
        <v>18.5</v>
      </c>
      <c r="T693">
        <v>58</v>
      </c>
      <c r="U693">
        <v>58</v>
      </c>
      <c r="W693">
        <v>28.13</v>
      </c>
      <c r="X693">
        <v>1</v>
      </c>
      <c r="Y693">
        <v>12.88</v>
      </c>
      <c r="Z693">
        <v>26.13</v>
      </c>
      <c r="AA693">
        <v>13.38</v>
      </c>
      <c r="AB693">
        <v>2.6059999999999999</v>
      </c>
      <c r="AC693">
        <v>32.06</v>
      </c>
      <c r="AE693">
        <v>1</v>
      </c>
      <c r="AF693" t="s">
        <v>2141</v>
      </c>
      <c r="AG693">
        <v>15</v>
      </c>
      <c r="AK693" t="s">
        <v>291</v>
      </c>
      <c r="AM693" t="s">
        <v>98</v>
      </c>
      <c r="AN693" t="s">
        <v>98</v>
      </c>
      <c r="AO693" t="s">
        <v>291</v>
      </c>
      <c r="AP693" t="s">
        <v>99</v>
      </c>
      <c r="AQ693" t="s">
        <v>102</v>
      </c>
      <c r="AV693" t="s">
        <v>98</v>
      </c>
      <c r="AX693" t="s">
        <v>245</v>
      </c>
      <c r="AZ693" t="s">
        <v>109</v>
      </c>
      <c r="BB693" t="s">
        <v>106</v>
      </c>
      <c r="BC693" t="s">
        <v>2230</v>
      </c>
      <c r="BF693" t="s">
        <v>2231</v>
      </c>
      <c r="BG693" t="s">
        <v>98</v>
      </c>
      <c r="BH693" t="s">
        <v>98</v>
      </c>
      <c r="BI693" t="s">
        <v>98</v>
      </c>
      <c r="BJ693" t="s">
        <v>291</v>
      </c>
      <c r="BK693" t="s">
        <v>292</v>
      </c>
      <c r="BU693">
        <v>6</v>
      </c>
      <c r="BW693">
        <v>0.75</v>
      </c>
      <c r="BX693" t="s">
        <v>2218</v>
      </c>
      <c r="BY693" t="s">
        <v>291</v>
      </c>
      <c r="BZ693" t="s">
        <v>245</v>
      </c>
      <c r="CA693" t="s">
        <v>2227</v>
      </c>
      <c r="CB693" t="s">
        <v>245</v>
      </c>
      <c r="CC693">
        <v>143</v>
      </c>
      <c r="CD693">
        <v>547</v>
      </c>
      <c r="CE693">
        <v>63.11</v>
      </c>
      <c r="CF693">
        <v>5491</v>
      </c>
      <c r="CG693">
        <v>3000</v>
      </c>
      <c r="CH693">
        <v>84</v>
      </c>
      <c r="CI693">
        <v>1363</v>
      </c>
      <c r="CJ693">
        <v>298</v>
      </c>
      <c r="CK693">
        <v>30000</v>
      </c>
      <c r="CL693" t="s">
        <v>291</v>
      </c>
      <c r="CM693" t="s">
        <v>291</v>
      </c>
      <c r="CN693" t="s">
        <v>2228</v>
      </c>
      <c r="CO693" s="1">
        <v>42804</v>
      </c>
      <c r="CP693" s="1">
        <v>43595</v>
      </c>
    </row>
    <row r="694" spans="1:94" x14ac:dyDescent="0.25">
      <c r="A694" s="4" t="s">
        <v>2232</v>
      </c>
      <c r="B694" t="str">
        <f xml:space="preserve"> "" &amp; 706411055799</f>
        <v>706411055799</v>
      </c>
      <c r="C694" t="s">
        <v>2225</v>
      </c>
      <c r="D694" t="s">
        <v>4462</v>
      </c>
      <c r="E694" t="str">
        <f xml:space="preserve"> "CONCEPT" &amp;  CHAR(153) &amp; " 1 WET 58"" LED"</f>
        <v>CONCEPT™ 1 WET 58" LED</v>
      </c>
      <c r="F694" t="s">
        <v>2113</v>
      </c>
      <c r="G694">
        <v>1</v>
      </c>
      <c r="H694">
        <v>1</v>
      </c>
      <c r="I694" t="s">
        <v>97</v>
      </c>
      <c r="J694" s="32">
        <v>269.95</v>
      </c>
      <c r="K694" s="32">
        <v>809.85</v>
      </c>
      <c r="L694">
        <v>0</v>
      </c>
      <c r="N694">
        <v>0</v>
      </c>
      <c r="Q694" t="s">
        <v>291</v>
      </c>
      <c r="R694" s="32">
        <v>539.95000000000005</v>
      </c>
      <c r="S694">
        <v>18.5</v>
      </c>
      <c r="T694">
        <v>58</v>
      </c>
      <c r="U694">
        <v>58</v>
      </c>
      <c r="W694">
        <v>28.13</v>
      </c>
      <c r="X694">
        <v>1</v>
      </c>
      <c r="Y694">
        <v>12.88</v>
      </c>
      <c r="Z694">
        <v>26.13</v>
      </c>
      <c r="AA694">
        <v>13.38</v>
      </c>
      <c r="AB694">
        <v>2.6059999999999999</v>
      </c>
      <c r="AC694">
        <v>14.55</v>
      </c>
      <c r="AE694">
        <v>1</v>
      </c>
      <c r="AF694" t="s">
        <v>2141</v>
      </c>
      <c r="AG694">
        <v>14</v>
      </c>
      <c r="AK694" t="s">
        <v>291</v>
      </c>
      <c r="AM694" t="s">
        <v>98</v>
      </c>
      <c r="AN694" t="s">
        <v>98</v>
      </c>
      <c r="AO694" t="s">
        <v>291</v>
      </c>
      <c r="AP694" t="s">
        <v>99</v>
      </c>
      <c r="AQ694" t="s">
        <v>102</v>
      </c>
      <c r="AV694" t="s">
        <v>98</v>
      </c>
      <c r="AX694" t="s">
        <v>302</v>
      </c>
      <c r="AZ694" t="s">
        <v>109</v>
      </c>
      <c r="BB694" t="s">
        <v>106</v>
      </c>
      <c r="BC694" t="s">
        <v>2204</v>
      </c>
      <c r="BF694" t="s">
        <v>2233</v>
      </c>
      <c r="BG694" t="s">
        <v>98</v>
      </c>
      <c r="BH694" t="s">
        <v>98</v>
      </c>
      <c r="BI694" t="s">
        <v>98</v>
      </c>
      <c r="BJ694" t="s">
        <v>291</v>
      </c>
      <c r="BK694" t="s">
        <v>292</v>
      </c>
      <c r="BU694">
        <v>6</v>
      </c>
      <c r="BW694">
        <v>0.75</v>
      </c>
      <c r="BX694" t="s">
        <v>2218</v>
      </c>
      <c r="BY694" t="s">
        <v>291</v>
      </c>
      <c r="BZ694" t="s">
        <v>302</v>
      </c>
      <c r="CA694" t="s">
        <v>2227</v>
      </c>
      <c r="CB694" t="s">
        <v>302</v>
      </c>
      <c r="CC694">
        <v>143</v>
      </c>
      <c r="CD694">
        <v>0.54700000000000004</v>
      </c>
      <c r="CE694">
        <v>63.11</v>
      </c>
      <c r="CF694">
        <v>5491</v>
      </c>
      <c r="CG694">
        <v>3000</v>
      </c>
      <c r="CH694">
        <v>84</v>
      </c>
      <c r="CI694">
        <v>1363</v>
      </c>
      <c r="CJ694">
        <v>601</v>
      </c>
      <c r="CK694">
        <v>30000</v>
      </c>
      <c r="CL694" t="s">
        <v>291</v>
      </c>
      <c r="CM694" t="s">
        <v>291</v>
      </c>
      <c r="CN694" t="s">
        <v>2228</v>
      </c>
      <c r="CO694" s="1">
        <v>42804</v>
      </c>
      <c r="CP694" s="1">
        <v>43595</v>
      </c>
    </row>
    <row r="695" spans="1:94" x14ac:dyDescent="0.25">
      <c r="A695" s="4" t="s">
        <v>2234</v>
      </c>
      <c r="B695" t="str">
        <f xml:space="preserve"> "" &amp; 706411025938</f>
        <v>706411025938</v>
      </c>
      <c r="C695" t="s">
        <v>2178</v>
      </c>
      <c r="D695" t="s">
        <v>4501</v>
      </c>
      <c r="E695" t="str">
        <f xml:space="preserve"> "TRADITIONAL GYRO" &amp;  CHAR(153) &amp; ""</f>
        <v>TRADITIONAL GYRO™</v>
      </c>
      <c r="F695" t="s">
        <v>2113</v>
      </c>
      <c r="G695">
        <v>1</v>
      </c>
      <c r="H695">
        <v>1</v>
      </c>
      <c r="I695" t="s">
        <v>97</v>
      </c>
      <c r="J695" s="32">
        <v>489.95</v>
      </c>
      <c r="K695" s="32">
        <v>1469.85</v>
      </c>
      <c r="L695">
        <v>0</v>
      </c>
      <c r="N695">
        <v>0</v>
      </c>
      <c r="Q695" t="s">
        <v>291</v>
      </c>
      <c r="R695" s="32">
        <v>859.95</v>
      </c>
      <c r="S695">
        <v>17</v>
      </c>
      <c r="T695">
        <v>42</v>
      </c>
      <c r="U695">
        <v>42</v>
      </c>
      <c r="W695">
        <v>40.369999999999997</v>
      </c>
      <c r="X695">
        <v>1</v>
      </c>
      <c r="Y695">
        <v>12.63</v>
      </c>
      <c r="Z695">
        <v>44.25</v>
      </c>
      <c r="AA695">
        <v>18.059999999999999</v>
      </c>
      <c r="AB695">
        <v>5.8410000000000002</v>
      </c>
      <c r="AC695">
        <v>49.16</v>
      </c>
      <c r="AE695">
        <v>1</v>
      </c>
      <c r="AF695" t="s">
        <v>2186</v>
      </c>
      <c r="AG695">
        <v>100</v>
      </c>
      <c r="AK695" t="s">
        <v>291</v>
      </c>
      <c r="AM695" t="s">
        <v>98</v>
      </c>
      <c r="AN695" t="s">
        <v>98</v>
      </c>
      <c r="AO695" t="s">
        <v>291</v>
      </c>
      <c r="AP695" t="s">
        <v>99</v>
      </c>
      <c r="AQ695" t="s">
        <v>102</v>
      </c>
      <c r="AV695" t="s">
        <v>98</v>
      </c>
      <c r="AX695" t="s">
        <v>136</v>
      </c>
      <c r="AZ695" t="s">
        <v>2235</v>
      </c>
      <c r="BB695" t="s">
        <v>106</v>
      </c>
      <c r="BC695" t="s">
        <v>136</v>
      </c>
      <c r="BF695" t="s">
        <v>2236</v>
      </c>
      <c r="BG695" t="s">
        <v>98</v>
      </c>
      <c r="BH695" t="s">
        <v>98</v>
      </c>
      <c r="BI695" t="s">
        <v>98</v>
      </c>
      <c r="BK695" t="s">
        <v>138</v>
      </c>
      <c r="BU695">
        <v>12</v>
      </c>
      <c r="BW695">
        <v>0.75</v>
      </c>
      <c r="BX695" t="s">
        <v>2188</v>
      </c>
      <c r="BY695" t="s">
        <v>291</v>
      </c>
      <c r="BZ695" t="s">
        <v>136</v>
      </c>
      <c r="CA695" t="s">
        <v>2237</v>
      </c>
      <c r="CB695" t="s">
        <v>136</v>
      </c>
      <c r="CC695">
        <v>1350</v>
      </c>
      <c r="CD695">
        <v>0.85</v>
      </c>
      <c r="CE695">
        <v>102</v>
      </c>
      <c r="CF695">
        <v>5050</v>
      </c>
      <c r="CL695" t="s">
        <v>291</v>
      </c>
      <c r="CM695" t="s">
        <v>291</v>
      </c>
      <c r="CN695" t="s">
        <v>2189</v>
      </c>
      <c r="CO695" s="1">
        <v>39036</v>
      </c>
      <c r="CP695" s="1">
        <v>43595</v>
      </c>
    </row>
    <row r="696" spans="1:94" x14ac:dyDescent="0.25">
      <c r="A696" s="4" t="s">
        <v>2238</v>
      </c>
      <c r="B696" t="str">
        <f xml:space="preserve"> "" &amp; 706411057182</f>
        <v>706411057182</v>
      </c>
      <c r="C696" t="s">
        <v>2239</v>
      </c>
      <c r="D696" t="s">
        <v>2240</v>
      </c>
      <c r="E696" t="s">
        <v>2241</v>
      </c>
      <c r="F696" t="s">
        <v>2113</v>
      </c>
      <c r="G696">
        <v>1</v>
      </c>
      <c r="H696">
        <v>1</v>
      </c>
      <c r="I696" t="s">
        <v>97</v>
      </c>
      <c r="J696" s="32">
        <v>97.95</v>
      </c>
      <c r="K696" s="32">
        <v>293.85000000000002</v>
      </c>
      <c r="L696">
        <v>0</v>
      </c>
      <c r="N696">
        <v>0</v>
      </c>
      <c r="Q696" t="s">
        <v>291</v>
      </c>
      <c r="R696" s="32">
        <v>195.95</v>
      </c>
      <c r="S696">
        <v>11</v>
      </c>
      <c r="T696">
        <v>26</v>
      </c>
      <c r="U696">
        <v>26</v>
      </c>
      <c r="W696">
        <v>12.17</v>
      </c>
      <c r="X696">
        <v>1</v>
      </c>
      <c r="Y696">
        <v>11.63</v>
      </c>
      <c r="Z696">
        <v>14.25</v>
      </c>
      <c r="AA696">
        <v>9.25</v>
      </c>
      <c r="AB696">
        <v>0.88700000000000001</v>
      </c>
      <c r="AC696">
        <v>13.51</v>
      </c>
      <c r="AE696">
        <v>1</v>
      </c>
      <c r="AF696" t="s">
        <v>2141</v>
      </c>
      <c r="AG696">
        <v>15</v>
      </c>
      <c r="AK696" t="s">
        <v>291</v>
      </c>
      <c r="AM696" t="s">
        <v>98</v>
      </c>
      <c r="AN696" t="s">
        <v>98</v>
      </c>
      <c r="AO696" t="s">
        <v>291</v>
      </c>
      <c r="AP696" t="s">
        <v>99</v>
      </c>
      <c r="AQ696" t="s">
        <v>102</v>
      </c>
      <c r="AV696" t="s">
        <v>98</v>
      </c>
      <c r="AX696" t="s">
        <v>163</v>
      </c>
      <c r="AZ696" t="s">
        <v>109</v>
      </c>
      <c r="BF696" t="s">
        <v>2242</v>
      </c>
      <c r="BG696" t="s">
        <v>98</v>
      </c>
      <c r="BH696" t="s">
        <v>98</v>
      </c>
      <c r="BI696" t="s">
        <v>98</v>
      </c>
      <c r="BK696" t="s">
        <v>138</v>
      </c>
      <c r="BX696" t="s">
        <v>2218</v>
      </c>
      <c r="BY696" t="s">
        <v>291</v>
      </c>
      <c r="BZ696" t="s">
        <v>441</v>
      </c>
      <c r="CA696" t="s">
        <v>2243</v>
      </c>
      <c r="CB696" t="s">
        <v>163</v>
      </c>
      <c r="CC696">
        <v>361</v>
      </c>
      <c r="CD696">
        <v>0.29199999999999998</v>
      </c>
      <c r="CE696">
        <v>31.95</v>
      </c>
      <c r="CF696">
        <v>1992</v>
      </c>
      <c r="CG696">
        <v>3000</v>
      </c>
      <c r="CH696">
        <v>93</v>
      </c>
      <c r="CI696">
        <v>1229</v>
      </c>
      <c r="CJ696">
        <v>601</v>
      </c>
      <c r="CK696">
        <v>30000</v>
      </c>
      <c r="CL696" t="s">
        <v>291</v>
      </c>
      <c r="CM696" t="s">
        <v>98</v>
      </c>
      <c r="CN696" t="s">
        <v>2228</v>
      </c>
      <c r="CO696" s="1">
        <v>42923</v>
      </c>
      <c r="CP696" s="1">
        <v>43595</v>
      </c>
    </row>
    <row r="697" spans="1:94" x14ac:dyDescent="0.25">
      <c r="A697" s="4" t="s">
        <v>2246</v>
      </c>
      <c r="B697" t="str">
        <f xml:space="preserve"> "" &amp; 706411057199</f>
        <v>706411057199</v>
      </c>
      <c r="C697" t="s">
        <v>2239</v>
      </c>
      <c r="D697" t="s">
        <v>2240</v>
      </c>
      <c r="E697" t="s">
        <v>2241</v>
      </c>
      <c r="F697" t="s">
        <v>2113</v>
      </c>
      <c r="G697">
        <v>1</v>
      </c>
      <c r="H697">
        <v>1</v>
      </c>
      <c r="I697" t="s">
        <v>97</v>
      </c>
      <c r="J697" s="32">
        <v>97.95</v>
      </c>
      <c r="K697" s="32">
        <v>293.85000000000002</v>
      </c>
      <c r="L697">
        <v>0</v>
      </c>
      <c r="N697">
        <v>0</v>
      </c>
      <c r="Q697" t="s">
        <v>291</v>
      </c>
      <c r="R697" s="32">
        <v>195.95</v>
      </c>
      <c r="S697">
        <v>11</v>
      </c>
      <c r="T697">
        <v>26</v>
      </c>
      <c r="U697">
        <v>26</v>
      </c>
      <c r="W697">
        <v>12.17</v>
      </c>
      <c r="X697">
        <v>1</v>
      </c>
      <c r="Y697">
        <v>11.63</v>
      </c>
      <c r="Z697">
        <v>14.25</v>
      </c>
      <c r="AA697">
        <v>9.25</v>
      </c>
      <c r="AB697">
        <v>0.88700000000000001</v>
      </c>
      <c r="AC697">
        <v>13.51</v>
      </c>
      <c r="AE697">
        <v>1</v>
      </c>
      <c r="AF697" t="s">
        <v>2141</v>
      </c>
      <c r="AG697">
        <v>15</v>
      </c>
      <c r="AK697" t="s">
        <v>291</v>
      </c>
      <c r="AM697" t="s">
        <v>98</v>
      </c>
      <c r="AN697" t="s">
        <v>98</v>
      </c>
      <c r="AO697" t="s">
        <v>291</v>
      </c>
      <c r="AP697" t="s">
        <v>99</v>
      </c>
      <c r="AQ697" t="s">
        <v>102</v>
      </c>
      <c r="AV697" t="s">
        <v>98</v>
      </c>
      <c r="AX697" t="s">
        <v>245</v>
      </c>
      <c r="AZ697" t="s">
        <v>109</v>
      </c>
      <c r="BF697" t="s">
        <v>2247</v>
      </c>
      <c r="BG697" t="s">
        <v>98</v>
      </c>
      <c r="BH697" t="s">
        <v>98</v>
      </c>
      <c r="BI697" t="s">
        <v>98</v>
      </c>
      <c r="BK697" t="s">
        <v>138</v>
      </c>
      <c r="BX697" t="s">
        <v>2218</v>
      </c>
      <c r="BY697" t="s">
        <v>291</v>
      </c>
      <c r="BZ697" t="s">
        <v>245</v>
      </c>
      <c r="CA697" t="s">
        <v>2243</v>
      </c>
      <c r="CB697" t="s">
        <v>245</v>
      </c>
      <c r="CC697">
        <v>361</v>
      </c>
      <c r="CD697">
        <v>0.29199999999999998</v>
      </c>
      <c r="CE697">
        <v>31.95</v>
      </c>
      <c r="CF697">
        <v>1992</v>
      </c>
      <c r="CG697">
        <v>3000</v>
      </c>
      <c r="CH697">
        <v>93</v>
      </c>
      <c r="CI697">
        <v>1229</v>
      </c>
      <c r="CJ697">
        <v>601</v>
      </c>
      <c r="CK697">
        <v>30000</v>
      </c>
      <c r="CL697" t="s">
        <v>291</v>
      </c>
      <c r="CM697" t="s">
        <v>98</v>
      </c>
      <c r="CN697" t="s">
        <v>2228</v>
      </c>
      <c r="CO697" s="1">
        <v>42889</v>
      </c>
      <c r="CP697" s="1">
        <v>43595</v>
      </c>
    </row>
    <row r="698" spans="1:94" x14ac:dyDescent="0.25">
      <c r="A698" s="4" t="s">
        <v>2248</v>
      </c>
      <c r="B698" t="str">
        <f xml:space="preserve"> "" &amp; 706411057205</f>
        <v>706411057205</v>
      </c>
      <c r="C698" t="s">
        <v>2239</v>
      </c>
      <c r="D698" t="s">
        <v>2240</v>
      </c>
      <c r="E698" t="s">
        <v>2241</v>
      </c>
      <c r="F698" t="s">
        <v>2113</v>
      </c>
      <c r="G698">
        <v>1</v>
      </c>
      <c r="H698">
        <v>1</v>
      </c>
      <c r="I698" t="s">
        <v>97</v>
      </c>
      <c r="J698" s="32">
        <v>97.95</v>
      </c>
      <c r="K698" s="32">
        <v>293.85000000000002</v>
      </c>
      <c r="L698">
        <v>0</v>
      </c>
      <c r="N698">
        <v>0</v>
      </c>
      <c r="Q698" t="s">
        <v>291</v>
      </c>
      <c r="R698" s="32">
        <v>195.95</v>
      </c>
      <c r="S698">
        <v>11</v>
      </c>
      <c r="T698">
        <v>26</v>
      </c>
      <c r="U698">
        <v>26</v>
      </c>
      <c r="W698">
        <v>12.17</v>
      </c>
      <c r="X698">
        <v>1</v>
      </c>
      <c r="Y698">
        <v>11.63</v>
      </c>
      <c r="Z698">
        <v>14.25</v>
      </c>
      <c r="AA698">
        <v>9.25</v>
      </c>
      <c r="AB698">
        <v>0.88700000000000001</v>
      </c>
      <c r="AC698">
        <v>13.51</v>
      </c>
      <c r="AE698">
        <v>1</v>
      </c>
      <c r="AF698" t="s">
        <v>2141</v>
      </c>
      <c r="AG698">
        <v>15</v>
      </c>
      <c r="AK698" t="s">
        <v>291</v>
      </c>
      <c r="AM698" t="s">
        <v>98</v>
      </c>
      <c r="AN698" t="s">
        <v>98</v>
      </c>
      <c r="AO698" t="s">
        <v>291</v>
      </c>
      <c r="AP698" t="s">
        <v>99</v>
      </c>
      <c r="AQ698" t="s">
        <v>102</v>
      </c>
      <c r="AV698" t="s">
        <v>98</v>
      </c>
      <c r="AX698" t="s">
        <v>302</v>
      </c>
      <c r="AZ698" t="s">
        <v>109</v>
      </c>
      <c r="BF698" t="s">
        <v>2249</v>
      </c>
      <c r="BG698" t="s">
        <v>98</v>
      </c>
      <c r="BH698" t="s">
        <v>98</v>
      </c>
      <c r="BI698" t="s">
        <v>98</v>
      </c>
      <c r="BK698" t="s">
        <v>138</v>
      </c>
      <c r="BX698" t="s">
        <v>2218</v>
      </c>
      <c r="BY698" t="s">
        <v>291</v>
      </c>
      <c r="BZ698" t="s">
        <v>302</v>
      </c>
      <c r="CA698" t="s">
        <v>2243</v>
      </c>
      <c r="CB698" t="s">
        <v>302</v>
      </c>
      <c r="CC698">
        <v>361</v>
      </c>
      <c r="CD698">
        <v>0.29199999999999998</v>
      </c>
      <c r="CE698">
        <v>31.95</v>
      </c>
      <c r="CF698">
        <v>1992</v>
      </c>
      <c r="CG698">
        <v>3000</v>
      </c>
      <c r="CH698">
        <v>93</v>
      </c>
      <c r="CI698">
        <v>1229</v>
      </c>
      <c r="CJ698">
        <v>601</v>
      </c>
      <c r="CK698">
        <v>30000</v>
      </c>
      <c r="CL698" t="s">
        <v>291</v>
      </c>
      <c r="CM698" t="s">
        <v>98</v>
      </c>
      <c r="CN698" t="s">
        <v>2228</v>
      </c>
      <c r="CO698" s="1">
        <v>42889</v>
      </c>
      <c r="CP698" s="1">
        <v>43595</v>
      </c>
    </row>
    <row r="699" spans="1:94" x14ac:dyDescent="0.25">
      <c r="A699" s="4" t="s">
        <v>2250</v>
      </c>
      <c r="B699" t="str">
        <f xml:space="preserve"> "" &amp; 706411037153</f>
        <v>706411037153</v>
      </c>
      <c r="C699" t="s">
        <v>2178</v>
      </c>
      <c r="D699" t="s">
        <v>2251</v>
      </c>
      <c r="E699" t="s">
        <v>2252</v>
      </c>
      <c r="F699" t="s">
        <v>2113</v>
      </c>
      <c r="G699">
        <v>1</v>
      </c>
      <c r="H699">
        <v>1</v>
      </c>
      <c r="I699" t="s">
        <v>97</v>
      </c>
      <c r="J699" s="32">
        <v>139.94999999999999</v>
      </c>
      <c r="K699" s="32">
        <v>419.85</v>
      </c>
      <c r="L699">
        <v>0</v>
      </c>
      <c r="N699">
        <v>0</v>
      </c>
      <c r="Q699" t="s">
        <v>291</v>
      </c>
      <c r="R699" s="32">
        <v>249.95</v>
      </c>
      <c r="S699">
        <v>13</v>
      </c>
      <c r="T699">
        <v>52</v>
      </c>
      <c r="U699">
        <v>52</v>
      </c>
      <c r="W699">
        <v>17.88</v>
      </c>
      <c r="X699">
        <v>1</v>
      </c>
      <c r="Y699">
        <v>10.130000000000001</v>
      </c>
      <c r="Z699">
        <v>21.25</v>
      </c>
      <c r="AA699">
        <v>14</v>
      </c>
      <c r="AB699">
        <v>1.744</v>
      </c>
      <c r="AC699">
        <v>21.61</v>
      </c>
      <c r="AK699" t="s">
        <v>98</v>
      </c>
      <c r="AM699" t="s">
        <v>98</v>
      </c>
      <c r="AN699" t="s">
        <v>291</v>
      </c>
      <c r="AO699" t="s">
        <v>98</v>
      </c>
      <c r="AP699" t="s">
        <v>99</v>
      </c>
      <c r="AQ699" t="s">
        <v>102</v>
      </c>
      <c r="AV699" t="s">
        <v>98</v>
      </c>
      <c r="AX699" t="s">
        <v>150</v>
      </c>
      <c r="AZ699" t="s">
        <v>2118</v>
      </c>
      <c r="BC699" t="s">
        <v>485</v>
      </c>
      <c r="BF699" t="s">
        <v>2253</v>
      </c>
      <c r="BG699" t="s">
        <v>98</v>
      </c>
      <c r="BH699" t="s">
        <v>98</v>
      </c>
      <c r="BI699" t="s">
        <v>98</v>
      </c>
      <c r="BK699" t="s">
        <v>138</v>
      </c>
      <c r="BU699">
        <v>6</v>
      </c>
      <c r="BW699">
        <v>0.75</v>
      </c>
      <c r="BX699" t="s">
        <v>2218</v>
      </c>
      <c r="BY699" t="s">
        <v>98</v>
      </c>
      <c r="BZ699" t="s">
        <v>2254</v>
      </c>
      <c r="CA699" t="s">
        <v>2255</v>
      </c>
      <c r="CB699" t="s">
        <v>150</v>
      </c>
      <c r="CC699">
        <v>199</v>
      </c>
      <c r="CD699">
        <v>0.61199999999999999</v>
      </c>
      <c r="CE699">
        <v>73.08</v>
      </c>
      <c r="CF699">
        <v>6230</v>
      </c>
      <c r="CL699" t="s">
        <v>98</v>
      </c>
      <c r="CM699" t="s">
        <v>291</v>
      </c>
      <c r="CN699" t="s">
        <v>2256</v>
      </c>
      <c r="CO699" s="1">
        <v>39942</v>
      </c>
      <c r="CP699" s="1">
        <v>43602</v>
      </c>
    </row>
    <row r="700" spans="1:94" x14ac:dyDescent="0.25">
      <c r="A700" s="4" t="s">
        <v>2257</v>
      </c>
      <c r="B700" t="str">
        <f xml:space="preserve"> "" &amp; 706411044120</f>
        <v>706411044120</v>
      </c>
      <c r="C700" t="s">
        <v>2178</v>
      </c>
      <c r="D700" t="s">
        <v>2251</v>
      </c>
      <c r="E700" t="s">
        <v>2252</v>
      </c>
      <c r="F700" t="s">
        <v>2113</v>
      </c>
      <c r="G700">
        <v>1</v>
      </c>
      <c r="H700">
        <v>1</v>
      </c>
      <c r="I700" t="s">
        <v>97</v>
      </c>
      <c r="J700" s="32">
        <v>139.94999999999999</v>
      </c>
      <c r="K700" s="32">
        <v>419.85</v>
      </c>
      <c r="L700">
        <v>0</v>
      </c>
      <c r="N700">
        <v>0</v>
      </c>
      <c r="Q700" t="s">
        <v>291</v>
      </c>
      <c r="R700" s="32">
        <v>249.95</v>
      </c>
      <c r="S700">
        <v>13</v>
      </c>
      <c r="T700">
        <v>52</v>
      </c>
      <c r="U700">
        <v>52</v>
      </c>
      <c r="W700">
        <v>17.88</v>
      </c>
      <c r="X700">
        <v>1</v>
      </c>
      <c r="Y700">
        <v>10.130000000000001</v>
      </c>
      <c r="Z700">
        <v>21.25</v>
      </c>
      <c r="AA700">
        <v>14</v>
      </c>
      <c r="AB700">
        <v>1.744</v>
      </c>
      <c r="AC700">
        <v>21.61</v>
      </c>
      <c r="AK700" t="s">
        <v>98</v>
      </c>
      <c r="AM700" t="s">
        <v>98</v>
      </c>
      <c r="AN700" t="s">
        <v>291</v>
      </c>
      <c r="AO700" t="s">
        <v>98</v>
      </c>
      <c r="AP700" t="s">
        <v>99</v>
      </c>
      <c r="AQ700" t="s">
        <v>102</v>
      </c>
      <c r="AV700" t="s">
        <v>98</v>
      </c>
      <c r="AX700" t="s">
        <v>219</v>
      </c>
      <c r="AZ700" t="s">
        <v>2118</v>
      </c>
      <c r="BC700" t="s">
        <v>485</v>
      </c>
      <c r="BF700" t="s">
        <v>2258</v>
      </c>
      <c r="BG700" t="s">
        <v>98</v>
      </c>
      <c r="BH700" t="s">
        <v>98</v>
      </c>
      <c r="BI700" t="s">
        <v>98</v>
      </c>
      <c r="BK700" t="s">
        <v>138</v>
      </c>
      <c r="BU700">
        <v>6</v>
      </c>
      <c r="BW700">
        <v>0.75</v>
      </c>
      <c r="BX700" t="s">
        <v>2206</v>
      </c>
      <c r="BY700" t="s">
        <v>98</v>
      </c>
      <c r="BZ700" t="s">
        <v>2259</v>
      </c>
      <c r="CA700" t="s">
        <v>2255</v>
      </c>
      <c r="CB700" t="s">
        <v>219</v>
      </c>
      <c r="CC700">
        <v>199</v>
      </c>
      <c r="CD700">
        <v>0.61199999999999999</v>
      </c>
      <c r="CE700">
        <v>73.08</v>
      </c>
      <c r="CF700">
        <v>6230</v>
      </c>
      <c r="CL700" t="s">
        <v>98</v>
      </c>
      <c r="CM700" t="s">
        <v>291</v>
      </c>
      <c r="CO700" s="1">
        <v>41240</v>
      </c>
      <c r="CP700" s="1">
        <v>43605</v>
      </c>
    </row>
    <row r="701" spans="1:94" x14ac:dyDescent="0.25">
      <c r="A701" s="4" t="s">
        <v>2260</v>
      </c>
      <c r="B701" t="str">
        <f xml:space="preserve"> "" &amp; 706411037139</f>
        <v>706411037139</v>
      </c>
      <c r="C701" t="s">
        <v>2178</v>
      </c>
      <c r="D701" t="s">
        <v>2251</v>
      </c>
      <c r="E701" t="s">
        <v>2252</v>
      </c>
      <c r="F701" t="s">
        <v>2113</v>
      </c>
      <c r="G701">
        <v>1</v>
      </c>
      <c r="H701">
        <v>1</v>
      </c>
      <c r="I701" t="s">
        <v>97</v>
      </c>
      <c r="J701" s="32">
        <v>139.94999999999999</v>
      </c>
      <c r="K701" s="32">
        <v>419.85</v>
      </c>
      <c r="L701">
        <v>0</v>
      </c>
      <c r="N701">
        <v>0</v>
      </c>
      <c r="Q701" t="s">
        <v>291</v>
      </c>
      <c r="R701" s="32">
        <v>249.95</v>
      </c>
      <c r="S701">
        <v>13</v>
      </c>
      <c r="T701">
        <v>52</v>
      </c>
      <c r="U701">
        <v>52</v>
      </c>
      <c r="W701">
        <v>17.88</v>
      </c>
      <c r="X701">
        <v>1</v>
      </c>
      <c r="Y701">
        <v>10.130000000000001</v>
      </c>
      <c r="Z701">
        <v>21.25</v>
      </c>
      <c r="AA701">
        <v>14</v>
      </c>
      <c r="AB701">
        <v>1.744</v>
      </c>
      <c r="AC701">
        <v>21.61</v>
      </c>
      <c r="AK701" t="s">
        <v>98</v>
      </c>
      <c r="AM701" t="s">
        <v>98</v>
      </c>
      <c r="AN701" t="s">
        <v>291</v>
      </c>
      <c r="AO701" t="s">
        <v>98</v>
      </c>
      <c r="AP701" t="s">
        <v>99</v>
      </c>
      <c r="AQ701" t="s">
        <v>102</v>
      </c>
      <c r="AV701" t="s">
        <v>98</v>
      </c>
      <c r="AX701" t="s">
        <v>245</v>
      </c>
      <c r="AZ701" t="s">
        <v>2118</v>
      </c>
      <c r="BC701" t="s">
        <v>485</v>
      </c>
      <c r="BF701" t="s">
        <v>2261</v>
      </c>
      <c r="BG701" t="s">
        <v>98</v>
      </c>
      <c r="BH701" t="s">
        <v>98</v>
      </c>
      <c r="BI701" t="s">
        <v>98</v>
      </c>
      <c r="BK701" t="s">
        <v>138</v>
      </c>
      <c r="BU701">
        <v>6</v>
      </c>
      <c r="BW701">
        <v>0.75</v>
      </c>
      <c r="BX701" t="s">
        <v>2218</v>
      </c>
      <c r="BY701" t="s">
        <v>98</v>
      </c>
      <c r="BZ701" t="s">
        <v>2262</v>
      </c>
      <c r="CA701" t="s">
        <v>2255</v>
      </c>
      <c r="CB701" t="s">
        <v>245</v>
      </c>
      <c r="CC701">
        <v>199</v>
      </c>
      <c r="CD701">
        <v>0.61199999999999999</v>
      </c>
      <c r="CE701">
        <v>73.08</v>
      </c>
      <c r="CF701">
        <v>6230</v>
      </c>
      <c r="CL701" t="s">
        <v>98</v>
      </c>
      <c r="CM701" t="s">
        <v>291</v>
      </c>
      <c r="CO701" s="1">
        <v>39942</v>
      </c>
      <c r="CP701" s="1">
        <v>43595</v>
      </c>
    </row>
    <row r="702" spans="1:94" x14ac:dyDescent="0.25">
      <c r="A702" s="4" t="s">
        <v>2263</v>
      </c>
      <c r="B702" t="str">
        <f xml:space="preserve"> "" &amp; 706411037146</f>
        <v>706411037146</v>
      </c>
      <c r="C702" t="s">
        <v>2178</v>
      </c>
      <c r="D702" t="s">
        <v>2251</v>
      </c>
      <c r="E702" t="s">
        <v>2252</v>
      </c>
      <c r="F702" t="s">
        <v>2113</v>
      </c>
      <c r="G702">
        <v>1</v>
      </c>
      <c r="H702">
        <v>1</v>
      </c>
      <c r="I702" t="s">
        <v>97</v>
      </c>
      <c r="J702" s="32">
        <v>129.94999999999999</v>
      </c>
      <c r="K702" s="32">
        <v>389.85</v>
      </c>
      <c r="L702">
        <v>0</v>
      </c>
      <c r="N702">
        <v>0</v>
      </c>
      <c r="Q702" t="s">
        <v>291</v>
      </c>
      <c r="R702" s="32">
        <v>229.95</v>
      </c>
      <c r="S702">
        <v>13</v>
      </c>
      <c r="T702">
        <v>52</v>
      </c>
      <c r="U702">
        <v>52</v>
      </c>
      <c r="W702">
        <v>17.88</v>
      </c>
      <c r="X702">
        <v>1</v>
      </c>
      <c r="Y702">
        <v>10.130000000000001</v>
      </c>
      <c r="Z702">
        <v>21.25</v>
      </c>
      <c r="AA702">
        <v>14</v>
      </c>
      <c r="AB702">
        <v>1.744</v>
      </c>
      <c r="AC702">
        <v>21.61</v>
      </c>
      <c r="AK702" t="s">
        <v>98</v>
      </c>
      <c r="AM702" t="s">
        <v>98</v>
      </c>
      <c r="AN702" t="s">
        <v>98</v>
      </c>
      <c r="AO702" t="s">
        <v>291</v>
      </c>
      <c r="AP702" t="s">
        <v>99</v>
      </c>
      <c r="AQ702" t="s">
        <v>102</v>
      </c>
      <c r="AV702" t="s">
        <v>98</v>
      </c>
      <c r="AX702" t="s">
        <v>302</v>
      </c>
      <c r="AZ702" t="s">
        <v>2118</v>
      </c>
      <c r="BC702" t="s">
        <v>485</v>
      </c>
      <c r="BF702" t="s">
        <v>2264</v>
      </c>
      <c r="BG702" t="s">
        <v>98</v>
      </c>
      <c r="BH702" t="s">
        <v>98</v>
      </c>
      <c r="BI702" t="s">
        <v>98</v>
      </c>
      <c r="BK702" t="s">
        <v>138</v>
      </c>
      <c r="BU702">
        <v>6</v>
      </c>
      <c r="BW702">
        <v>0.75</v>
      </c>
      <c r="BX702" t="s">
        <v>2218</v>
      </c>
      <c r="BY702" t="s">
        <v>98</v>
      </c>
      <c r="BZ702" t="s">
        <v>302</v>
      </c>
      <c r="CA702" t="s">
        <v>2255</v>
      </c>
      <c r="CB702" t="s">
        <v>302</v>
      </c>
      <c r="CC702">
        <v>199</v>
      </c>
      <c r="CD702">
        <v>0.61199999999999999</v>
      </c>
      <c r="CE702">
        <v>73.08</v>
      </c>
      <c r="CF702">
        <v>6230</v>
      </c>
      <c r="CL702" t="s">
        <v>98</v>
      </c>
      <c r="CM702" t="s">
        <v>291</v>
      </c>
      <c r="CO702" s="1">
        <v>39942</v>
      </c>
      <c r="CP702" s="1">
        <v>43595</v>
      </c>
    </row>
    <row r="703" spans="1:94" x14ac:dyDescent="0.25">
      <c r="A703" s="4" t="s">
        <v>2265</v>
      </c>
      <c r="B703" t="str">
        <f xml:space="preserve"> "" &amp; 706411037078</f>
        <v>706411037078</v>
      </c>
      <c r="C703" t="s">
        <v>2178</v>
      </c>
      <c r="D703" t="s">
        <v>2266</v>
      </c>
      <c r="E703" t="s">
        <v>2267</v>
      </c>
      <c r="F703" t="s">
        <v>2113</v>
      </c>
      <c r="G703">
        <v>1</v>
      </c>
      <c r="H703">
        <v>1</v>
      </c>
      <c r="I703" t="s">
        <v>97</v>
      </c>
      <c r="J703" s="32">
        <v>149.94999999999999</v>
      </c>
      <c r="K703" s="32">
        <v>449.85</v>
      </c>
      <c r="L703">
        <v>0</v>
      </c>
      <c r="N703">
        <v>0</v>
      </c>
      <c r="Q703" t="s">
        <v>291</v>
      </c>
      <c r="R703" s="32">
        <v>269.95</v>
      </c>
      <c r="S703">
        <v>16</v>
      </c>
      <c r="T703">
        <v>52</v>
      </c>
      <c r="U703">
        <v>52</v>
      </c>
      <c r="W703">
        <v>19.95</v>
      </c>
      <c r="X703">
        <v>1</v>
      </c>
      <c r="Y703">
        <v>10.875</v>
      </c>
      <c r="Z703">
        <v>24</v>
      </c>
      <c r="AA703">
        <v>14.25</v>
      </c>
      <c r="AB703">
        <v>2.1520000000000001</v>
      </c>
      <c r="AC703">
        <v>24.07</v>
      </c>
      <c r="AE703">
        <v>2</v>
      </c>
      <c r="AF703" t="s">
        <v>2268</v>
      </c>
      <c r="AG703">
        <v>13</v>
      </c>
      <c r="AK703" t="s">
        <v>291</v>
      </c>
      <c r="AM703" t="s">
        <v>98</v>
      </c>
      <c r="AN703" t="s">
        <v>98</v>
      </c>
      <c r="AO703" t="s">
        <v>291</v>
      </c>
      <c r="AP703" t="s">
        <v>99</v>
      </c>
      <c r="AQ703" t="s">
        <v>102</v>
      </c>
      <c r="AV703" t="s">
        <v>98</v>
      </c>
      <c r="AX703" t="s">
        <v>150</v>
      </c>
      <c r="AZ703" t="s">
        <v>2180</v>
      </c>
      <c r="BB703" t="s">
        <v>54</v>
      </c>
      <c r="BC703" t="s">
        <v>2269</v>
      </c>
      <c r="BF703" t="s">
        <v>2270</v>
      </c>
      <c r="BG703" t="s">
        <v>98</v>
      </c>
      <c r="BH703" t="s">
        <v>98</v>
      </c>
      <c r="BI703" t="s">
        <v>98</v>
      </c>
      <c r="BK703" t="s">
        <v>138</v>
      </c>
      <c r="BU703">
        <v>6</v>
      </c>
      <c r="BW703">
        <v>0.75</v>
      </c>
      <c r="BX703" t="s">
        <v>2218</v>
      </c>
      <c r="BY703" t="s">
        <v>291</v>
      </c>
      <c r="BZ703" t="s">
        <v>441</v>
      </c>
      <c r="CA703" t="s">
        <v>2271</v>
      </c>
      <c r="CB703" t="s">
        <v>150</v>
      </c>
      <c r="CC703">
        <v>209</v>
      </c>
      <c r="CD703">
        <v>0.59599999999999997</v>
      </c>
      <c r="CE703">
        <v>71.45</v>
      </c>
      <c r="CF703">
        <v>6148</v>
      </c>
      <c r="CG703">
        <v>2700</v>
      </c>
      <c r="CL703" t="s">
        <v>98</v>
      </c>
      <c r="CM703" t="s">
        <v>291</v>
      </c>
      <c r="CN703" t="s">
        <v>2272</v>
      </c>
      <c r="CO703" s="1">
        <v>39942</v>
      </c>
      <c r="CP703" s="1">
        <v>43595</v>
      </c>
    </row>
    <row r="704" spans="1:94" x14ac:dyDescent="0.25">
      <c r="A704" s="4" t="s">
        <v>2273</v>
      </c>
      <c r="B704" t="str">
        <f xml:space="preserve"> "" &amp; 706411037092</f>
        <v>706411037092</v>
      </c>
      <c r="C704" t="s">
        <v>2178</v>
      </c>
      <c r="D704" t="s">
        <v>2266</v>
      </c>
      <c r="E704" t="s">
        <v>2267</v>
      </c>
      <c r="F704" t="s">
        <v>2113</v>
      </c>
      <c r="G704">
        <v>1</v>
      </c>
      <c r="H704">
        <v>1</v>
      </c>
      <c r="I704" t="s">
        <v>97</v>
      </c>
      <c r="J704" s="32">
        <v>149.94999999999999</v>
      </c>
      <c r="K704" s="32">
        <v>449.85</v>
      </c>
      <c r="L704">
        <v>0</v>
      </c>
      <c r="N704">
        <v>0</v>
      </c>
      <c r="Q704" t="s">
        <v>291</v>
      </c>
      <c r="R704" s="32">
        <v>269.95</v>
      </c>
      <c r="S704">
        <v>16.25</v>
      </c>
      <c r="T704">
        <v>52</v>
      </c>
      <c r="U704">
        <v>52</v>
      </c>
      <c r="W704">
        <v>19.95</v>
      </c>
      <c r="X704">
        <v>1</v>
      </c>
      <c r="Y704">
        <v>10.88</v>
      </c>
      <c r="Z704">
        <v>24</v>
      </c>
      <c r="AA704">
        <v>14.25</v>
      </c>
      <c r="AB704">
        <v>2.153</v>
      </c>
      <c r="AC704">
        <v>24.07</v>
      </c>
      <c r="AE704">
        <v>2</v>
      </c>
      <c r="AF704" t="s">
        <v>2274</v>
      </c>
      <c r="AG704">
        <v>13</v>
      </c>
      <c r="AK704" t="s">
        <v>291</v>
      </c>
      <c r="AM704" t="s">
        <v>98</v>
      </c>
      <c r="AN704" t="s">
        <v>98</v>
      </c>
      <c r="AO704" t="s">
        <v>291</v>
      </c>
      <c r="AP704" t="s">
        <v>99</v>
      </c>
      <c r="AQ704" t="s">
        <v>102</v>
      </c>
      <c r="AV704" t="s">
        <v>98</v>
      </c>
      <c r="AX704" t="s">
        <v>245</v>
      </c>
      <c r="AZ704" t="s">
        <v>2180</v>
      </c>
      <c r="BB704" t="s">
        <v>54</v>
      </c>
      <c r="BC704" t="s">
        <v>2275</v>
      </c>
      <c r="BF704" t="s">
        <v>2276</v>
      </c>
      <c r="BG704" t="s">
        <v>98</v>
      </c>
      <c r="BH704" t="s">
        <v>98</v>
      </c>
      <c r="BI704" t="s">
        <v>98</v>
      </c>
      <c r="BK704" t="s">
        <v>138</v>
      </c>
      <c r="BU704">
        <v>6</v>
      </c>
      <c r="BW704">
        <v>0.75</v>
      </c>
      <c r="BX704" t="s">
        <v>2218</v>
      </c>
      <c r="BY704" t="s">
        <v>291</v>
      </c>
      <c r="BZ704" t="s">
        <v>2159</v>
      </c>
      <c r="CA704" t="s">
        <v>2271</v>
      </c>
      <c r="CB704" t="s">
        <v>245</v>
      </c>
      <c r="CC704">
        <v>209</v>
      </c>
      <c r="CD704">
        <v>0.59599999999999997</v>
      </c>
      <c r="CE704">
        <v>71.45</v>
      </c>
      <c r="CF704">
        <v>6148</v>
      </c>
      <c r="CG704">
        <v>2700</v>
      </c>
      <c r="CL704" t="s">
        <v>98</v>
      </c>
      <c r="CM704" t="s">
        <v>291</v>
      </c>
      <c r="CN704" t="s">
        <v>2272</v>
      </c>
      <c r="CO704" s="1">
        <v>39942</v>
      </c>
      <c r="CP704" s="1">
        <v>43595</v>
      </c>
    </row>
    <row r="705" spans="1:94" x14ac:dyDescent="0.25">
      <c r="A705" s="4" t="s">
        <v>2277</v>
      </c>
      <c r="B705" t="str">
        <f xml:space="preserve"> "" &amp; 706411037085</f>
        <v>706411037085</v>
      </c>
      <c r="C705" t="s">
        <v>2178</v>
      </c>
      <c r="D705" t="s">
        <v>2266</v>
      </c>
      <c r="E705" t="s">
        <v>2267</v>
      </c>
      <c r="F705" t="s">
        <v>2113</v>
      </c>
      <c r="G705">
        <v>1</v>
      </c>
      <c r="H705">
        <v>1</v>
      </c>
      <c r="I705" t="s">
        <v>97</v>
      </c>
      <c r="J705" s="32">
        <v>149.94999999999999</v>
      </c>
      <c r="K705" s="32">
        <v>449.85</v>
      </c>
      <c r="L705">
        <v>0</v>
      </c>
      <c r="N705">
        <v>0</v>
      </c>
      <c r="Q705" t="s">
        <v>291</v>
      </c>
      <c r="R705" s="32">
        <v>269.95</v>
      </c>
      <c r="S705">
        <v>16.25</v>
      </c>
      <c r="T705">
        <v>52</v>
      </c>
      <c r="U705">
        <v>52</v>
      </c>
      <c r="W705">
        <v>19.95</v>
      </c>
      <c r="X705">
        <v>1</v>
      </c>
      <c r="Y705">
        <v>10.88</v>
      </c>
      <c r="Z705">
        <v>24</v>
      </c>
      <c r="AA705">
        <v>14.25</v>
      </c>
      <c r="AB705">
        <v>2.153</v>
      </c>
      <c r="AC705">
        <v>24.07</v>
      </c>
      <c r="AE705">
        <v>2</v>
      </c>
      <c r="AF705" t="s">
        <v>2268</v>
      </c>
      <c r="AG705">
        <v>13</v>
      </c>
      <c r="AK705" t="s">
        <v>291</v>
      </c>
      <c r="AM705" t="s">
        <v>98</v>
      </c>
      <c r="AN705" t="s">
        <v>98</v>
      </c>
      <c r="AO705" t="s">
        <v>291</v>
      </c>
      <c r="AP705" t="s">
        <v>99</v>
      </c>
      <c r="AQ705" t="s">
        <v>102</v>
      </c>
      <c r="AV705" t="s">
        <v>98</v>
      </c>
      <c r="AX705" t="s">
        <v>302</v>
      </c>
      <c r="AZ705" t="s">
        <v>2180</v>
      </c>
      <c r="BB705" t="s">
        <v>54</v>
      </c>
      <c r="BC705" t="s">
        <v>2269</v>
      </c>
      <c r="BF705" t="s">
        <v>2278</v>
      </c>
      <c r="BG705" t="s">
        <v>98</v>
      </c>
      <c r="BH705" t="s">
        <v>98</v>
      </c>
      <c r="BI705" t="s">
        <v>98</v>
      </c>
      <c r="BK705" t="s">
        <v>138</v>
      </c>
      <c r="BU705">
        <v>6</v>
      </c>
      <c r="BW705">
        <v>0.75</v>
      </c>
      <c r="BX705" t="s">
        <v>2218</v>
      </c>
      <c r="BY705" t="s">
        <v>291</v>
      </c>
      <c r="BZ705" t="s">
        <v>302</v>
      </c>
      <c r="CA705" t="s">
        <v>2271</v>
      </c>
      <c r="CB705" t="s">
        <v>302</v>
      </c>
      <c r="CC705">
        <v>209</v>
      </c>
      <c r="CD705">
        <v>0.59599999999999997</v>
      </c>
      <c r="CE705">
        <v>71.45</v>
      </c>
      <c r="CF705">
        <v>6148</v>
      </c>
      <c r="CG705">
        <v>2700</v>
      </c>
      <c r="CL705" t="s">
        <v>98</v>
      </c>
      <c r="CM705" t="s">
        <v>291</v>
      </c>
      <c r="CN705" t="s">
        <v>2272</v>
      </c>
      <c r="CO705" s="1">
        <v>39942</v>
      </c>
      <c r="CP705" s="1">
        <v>43595</v>
      </c>
    </row>
    <row r="706" spans="1:94" x14ac:dyDescent="0.25">
      <c r="A706" s="4" t="s">
        <v>2279</v>
      </c>
      <c r="B706" t="str">
        <f xml:space="preserve"> "" &amp; 706411055461</f>
        <v>706411055461</v>
      </c>
      <c r="C706" t="s">
        <v>2280</v>
      </c>
      <c r="D706" t="s">
        <v>4460</v>
      </c>
      <c r="E706" t="str">
        <f xml:space="preserve"> "CONCEPT" &amp;  CHAR(153) &amp; " I 44"" LED"</f>
        <v>CONCEPT™ I 44" LED</v>
      </c>
      <c r="F706" t="s">
        <v>2113</v>
      </c>
      <c r="G706">
        <v>1</v>
      </c>
      <c r="H706">
        <v>1</v>
      </c>
      <c r="I706" t="s">
        <v>97</v>
      </c>
      <c r="J706" s="32">
        <v>169.95</v>
      </c>
      <c r="K706" s="32">
        <v>509.85</v>
      </c>
      <c r="L706">
        <v>0</v>
      </c>
      <c r="N706">
        <v>0</v>
      </c>
      <c r="Q706" t="s">
        <v>291</v>
      </c>
      <c r="R706" s="32">
        <v>339.95</v>
      </c>
      <c r="S706">
        <v>17.5</v>
      </c>
      <c r="T706">
        <v>44</v>
      </c>
      <c r="U706">
        <v>44</v>
      </c>
      <c r="W706">
        <v>21.83</v>
      </c>
      <c r="X706">
        <v>1</v>
      </c>
      <c r="Y706">
        <v>12.13</v>
      </c>
      <c r="Z706">
        <v>24.63</v>
      </c>
      <c r="AA706">
        <v>13.63</v>
      </c>
      <c r="AB706">
        <v>2.3570000000000002</v>
      </c>
      <c r="AC706">
        <v>25.68</v>
      </c>
      <c r="AE706">
        <v>1</v>
      </c>
      <c r="AF706" t="s">
        <v>2141</v>
      </c>
      <c r="AG706">
        <v>15</v>
      </c>
      <c r="AK706" t="s">
        <v>291</v>
      </c>
      <c r="AM706" t="s">
        <v>98</v>
      </c>
      <c r="AN706" t="s">
        <v>98</v>
      </c>
      <c r="AO706" t="s">
        <v>291</v>
      </c>
      <c r="AP706" t="s">
        <v>99</v>
      </c>
      <c r="AQ706" t="s">
        <v>102</v>
      </c>
      <c r="AV706" t="s">
        <v>98</v>
      </c>
      <c r="AX706" t="s">
        <v>150</v>
      </c>
      <c r="AZ706" t="s">
        <v>109</v>
      </c>
      <c r="BB706" t="s">
        <v>106</v>
      </c>
      <c r="BC706" t="s">
        <v>2204</v>
      </c>
      <c r="BF706" t="s">
        <v>2281</v>
      </c>
      <c r="BG706" t="s">
        <v>98</v>
      </c>
      <c r="BH706" t="s">
        <v>98</v>
      </c>
      <c r="BI706" t="s">
        <v>98</v>
      </c>
      <c r="BK706" t="s">
        <v>138</v>
      </c>
      <c r="BU706">
        <v>6</v>
      </c>
      <c r="BW706">
        <v>0.75</v>
      </c>
      <c r="BX706">
        <v>14</v>
      </c>
      <c r="BY706" t="s">
        <v>291</v>
      </c>
      <c r="BZ706" t="s">
        <v>441</v>
      </c>
      <c r="CA706" t="s">
        <v>2282</v>
      </c>
      <c r="CB706" t="s">
        <v>150</v>
      </c>
      <c r="CC706">
        <v>190</v>
      </c>
      <c r="CD706">
        <v>0.38700000000000001</v>
      </c>
      <c r="CE706">
        <v>42.98</v>
      </c>
      <c r="CF706">
        <v>3558</v>
      </c>
      <c r="CG706">
        <v>3000</v>
      </c>
      <c r="CH706">
        <v>83</v>
      </c>
      <c r="CI706">
        <v>1363</v>
      </c>
      <c r="CJ706">
        <v>537</v>
      </c>
      <c r="CK706">
        <v>30000</v>
      </c>
      <c r="CL706" t="s">
        <v>291</v>
      </c>
      <c r="CM706" t="s">
        <v>291</v>
      </c>
      <c r="CN706" t="s">
        <v>2283</v>
      </c>
      <c r="CO706" s="1">
        <v>42787</v>
      </c>
      <c r="CP706" s="1">
        <v>43595</v>
      </c>
    </row>
    <row r="707" spans="1:94" x14ac:dyDescent="0.25">
      <c r="A707" s="4" t="s">
        <v>2284</v>
      </c>
      <c r="B707" t="str">
        <f xml:space="preserve"> "" &amp; 706411055553</f>
        <v>706411055553</v>
      </c>
      <c r="C707" t="s">
        <v>2280</v>
      </c>
      <c r="D707" t="s">
        <v>4460</v>
      </c>
      <c r="E707" t="str">
        <f xml:space="preserve"> "CONCEPT" &amp;  CHAR(153) &amp; " I 44"" LED"</f>
        <v>CONCEPT™ I 44" LED</v>
      </c>
      <c r="F707" t="s">
        <v>2113</v>
      </c>
      <c r="G707">
        <v>1</v>
      </c>
      <c r="H707">
        <v>1</v>
      </c>
      <c r="I707" t="s">
        <v>97</v>
      </c>
      <c r="J707" s="32">
        <v>169.95</v>
      </c>
      <c r="K707" s="32">
        <v>509.85</v>
      </c>
      <c r="L707">
        <v>0</v>
      </c>
      <c r="N707">
        <v>0</v>
      </c>
      <c r="Q707" t="s">
        <v>291</v>
      </c>
      <c r="R707" s="32">
        <v>339.95</v>
      </c>
      <c r="S707">
        <v>17.5</v>
      </c>
      <c r="T707">
        <v>44</v>
      </c>
      <c r="U707">
        <v>44</v>
      </c>
      <c r="W707">
        <v>21.83</v>
      </c>
      <c r="X707">
        <v>1</v>
      </c>
      <c r="Y707">
        <v>12.13</v>
      </c>
      <c r="Z707">
        <v>24.63</v>
      </c>
      <c r="AA707">
        <v>13.63</v>
      </c>
      <c r="AB707">
        <v>2.3570000000000002</v>
      </c>
      <c r="AC707">
        <v>11.64</v>
      </c>
      <c r="AE707">
        <v>1</v>
      </c>
      <c r="AF707" t="s">
        <v>2141</v>
      </c>
      <c r="AG707">
        <v>14</v>
      </c>
      <c r="AK707" t="s">
        <v>291</v>
      </c>
      <c r="AM707" t="s">
        <v>98</v>
      </c>
      <c r="AN707" t="s">
        <v>98</v>
      </c>
      <c r="AO707" t="s">
        <v>291</v>
      </c>
      <c r="AP707" t="s">
        <v>99</v>
      </c>
      <c r="AQ707" t="s">
        <v>102</v>
      </c>
      <c r="AV707" t="s">
        <v>98</v>
      </c>
      <c r="AX707" t="s">
        <v>245</v>
      </c>
      <c r="AZ707" t="s">
        <v>109</v>
      </c>
      <c r="BB707" t="s">
        <v>106</v>
      </c>
      <c r="BC707" t="s">
        <v>2285</v>
      </c>
      <c r="BF707" t="s">
        <v>2286</v>
      </c>
      <c r="BG707" t="s">
        <v>98</v>
      </c>
      <c r="BH707" t="s">
        <v>98</v>
      </c>
      <c r="BI707" t="s">
        <v>98</v>
      </c>
      <c r="BK707" t="s">
        <v>138</v>
      </c>
      <c r="BU707">
        <v>6</v>
      </c>
      <c r="BW707">
        <v>0.75</v>
      </c>
      <c r="BX707">
        <v>14</v>
      </c>
      <c r="BY707" t="s">
        <v>291</v>
      </c>
      <c r="BZ707" t="s">
        <v>2212</v>
      </c>
      <c r="CA707" t="s">
        <v>2282</v>
      </c>
      <c r="CB707" t="s">
        <v>245</v>
      </c>
      <c r="CC707">
        <v>190</v>
      </c>
      <c r="CD707">
        <v>0.38700000000000001</v>
      </c>
      <c r="CE707">
        <v>42.98</v>
      </c>
      <c r="CF707">
        <v>3558</v>
      </c>
      <c r="CG707">
        <v>3000</v>
      </c>
      <c r="CH707">
        <v>83</v>
      </c>
      <c r="CI707">
        <v>1363</v>
      </c>
      <c r="CJ707">
        <v>537</v>
      </c>
      <c r="CK707">
        <v>30000</v>
      </c>
      <c r="CL707" t="s">
        <v>291</v>
      </c>
      <c r="CM707" t="s">
        <v>291</v>
      </c>
      <c r="CN707" t="s">
        <v>2283</v>
      </c>
      <c r="CO707" s="1">
        <v>42788</v>
      </c>
      <c r="CP707" s="1">
        <v>43595</v>
      </c>
    </row>
    <row r="708" spans="1:94" x14ac:dyDescent="0.25">
      <c r="A708" s="4" t="s">
        <v>2287</v>
      </c>
      <c r="B708" t="str">
        <f xml:space="preserve"> "" &amp; 706411055348</f>
        <v>706411055348</v>
      </c>
      <c r="C708" t="s">
        <v>2280</v>
      </c>
      <c r="D708" t="s">
        <v>4460</v>
      </c>
      <c r="E708" t="str">
        <f xml:space="preserve"> "CONCEPT" &amp;  CHAR(153) &amp; " I 44"" LED"</f>
        <v>CONCEPT™ I 44" LED</v>
      </c>
      <c r="F708" t="s">
        <v>2113</v>
      </c>
      <c r="G708">
        <v>1</v>
      </c>
      <c r="H708">
        <v>1</v>
      </c>
      <c r="I708" t="s">
        <v>97</v>
      </c>
      <c r="J708" s="32">
        <v>169.95</v>
      </c>
      <c r="K708" s="32">
        <v>509.85</v>
      </c>
      <c r="L708">
        <v>0</v>
      </c>
      <c r="N708">
        <v>0</v>
      </c>
      <c r="S708">
        <v>17.5</v>
      </c>
      <c r="U708">
        <v>44</v>
      </c>
      <c r="W708">
        <v>21.83</v>
      </c>
      <c r="X708">
        <v>1</v>
      </c>
      <c r="Y708">
        <v>12.13</v>
      </c>
      <c r="Z708">
        <v>24.63</v>
      </c>
      <c r="AA708">
        <v>13.63</v>
      </c>
      <c r="AB708">
        <v>2.3570000000000002</v>
      </c>
      <c r="AC708">
        <v>11.64</v>
      </c>
      <c r="AE708">
        <v>1</v>
      </c>
      <c r="AF708" t="s">
        <v>2141</v>
      </c>
      <c r="AG708">
        <v>14</v>
      </c>
      <c r="AK708" t="s">
        <v>291</v>
      </c>
      <c r="AM708" t="s">
        <v>98</v>
      </c>
      <c r="AN708" t="s">
        <v>98</v>
      </c>
      <c r="AO708" t="s">
        <v>291</v>
      </c>
      <c r="AP708" t="s">
        <v>99</v>
      </c>
      <c r="AQ708" t="s">
        <v>102</v>
      </c>
      <c r="AV708" t="s">
        <v>98</v>
      </c>
      <c r="AX708" t="s">
        <v>257</v>
      </c>
      <c r="AZ708" t="s">
        <v>109</v>
      </c>
      <c r="BB708" t="s">
        <v>106</v>
      </c>
      <c r="BC708" t="s">
        <v>2204</v>
      </c>
      <c r="BF708" t="s">
        <v>2288</v>
      </c>
      <c r="BG708" t="s">
        <v>98</v>
      </c>
      <c r="BH708" t="s">
        <v>98</v>
      </c>
      <c r="BI708" t="s">
        <v>98</v>
      </c>
      <c r="BK708" t="s">
        <v>138</v>
      </c>
      <c r="BU708">
        <v>6</v>
      </c>
      <c r="BW708">
        <v>0.75</v>
      </c>
      <c r="BX708" t="s">
        <v>2218</v>
      </c>
      <c r="BY708" t="s">
        <v>291</v>
      </c>
      <c r="BZ708" t="s">
        <v>441</v>
      </c>
      <c r="CA708" t="s">
        <v>2282</v>
      </c>
      <c r="CB708" t="s">
        <v>257</v>
      </c>
      <c r="CC708">
        <v>190</v>
      </c>
      <c r="CD708">
        <v>0.38700000000000001</v>
      </c>
      <c r="CE708">
        <v>42.98</v>
      </c>
      <c r="CF708">
        <v>3558</v>
      </c>
      <c r="CG708">
        <v>3000</v>
      </c>
      <c r="CH708">
        <v>83</v>
      </c>
      <c r="CI708">
        <v>1363</v>
      </c>
      <c r="CJ708">
        <v>537</v>
      </c>
      <c r="CK708">
        <v>30000</v>
      </c>
      <c r="CL708" t="s">
        <v>291</v>
      </c>
      <c r="CM708" t="s">
        <v>291</v>
      </c>
      <c r="CN708" t="s">
        <v>2283</v>
      </c>
      <c r="CO708" s="1">
        <v>42788</v>
      </c>
      <c r="CP708" s="1">
        <v>43595</v>
      </c>
    </row>
    <row r="709" spans="1:94" x14ac:dyDescent="0.25">
      <c r="A709" s="4" t="s">
        <v>2289</v>
      </c>
      <c r="B709" t="str">
        <f xml:space="preserve"> "" &amp; 706411055362</f>
        <v>706411055362</v>
      </c>
      <c r="C709" t="s">
        <v>2280</v>
      </c>
      <c r="D709" t="s">
        <v>4460</v>
      </c>
      <c r="E709" t="str">
        <f xml:space="preserve"> "CONCEPT" &amp;  CHAR(153) &amp; " I 44"" LED"</f>
        <v>CONCEPT™ I 44" LED</v>
      </c>
      <c r="F709" t="s">
        <v>2113</v>
      </c>
      <c r="G709">
        <v>1</v>
      </c>
      <c r="H709">
        <v>1</v>
      </c>
      <c r="I709" t="s">
        <v>97</v>
      </c>
      <c r="J709" s="32">
        <v>159.94999999999999</v>
      </c>
      <c r="K709" s="32">
        <v>479.85</v>
      </c>
      <c r="L709">
        <v>0</v>
      </c>
      <c r="N709">
        <v>0</v>
      </c>
      <c r="Q709" t="s">
        <v>291</v>
      </c>
      <c r="R709" s="32">
        <v>319.95</v>
      </c>
      <c r="S709">
        <v>17.5</v>
      </c>
      <c r="T709">
        <v>44</v>
      </c>
      <c r="U709">
        <v>44</v>
      </c>
      <c r="W709">
        <v>21.83</v>
      </c>
      <c r="X709">
        <v>1</v>
      </c>
      <c r="Y709">
        <v>12.13</v>
      </c>
      <c r="Z709">
        <v>24.63</v>
      </c>
      <c r="AA709">
        <v>13.63</v>
      </c>
      <c r="AB709">
        <v>2.3570000000000002</v>
      </c>
      <c r="AC709">
        <v>25.68</v>
      </c>
      <c r="AE709">
        <v>1</v>
      </c>
      <c r="AF709" t="s">
        <v>2141</v>
      </c>
      <c r="AG709">
        <v>14</v>
      </c>
      <c r="AK709" t="s">
        <v>291</v>
      </c>
      <c r="AM709" t="s">
        <v>98</v>
      </c>
      <c r="AN709" t="s">
        <v>98</v>
      </c>
      <c r="AO709" t="s">
        <v>291</v>
      </c>
      <c r="AP709" t="s">
        <v>99</v>
      </c>
      <c r="AQ709" t="s">
        <v>102</v>
      </c>
      <c r="AV709" t="s">
        <v>98</v>
      </c>
      <c r="AX709" t="s">
        <v>302</v>
      </c>
      <c r="AZ709" t="s">
        <v>109</v>
      </c>
      <c r="BB709" t="s">
        <v>106</v>
      </c>
      <c r="BC709" t="s">
        <v>2204</v>
      </c>
      <c r="BF709" t="s">
        <v>2290</v>
      </c>
      <c r="BG709" t="s">
        <v>98</v>
      </c>
      <c r="BH709" t="s">
        <v>98</v>
      </c>
      <c r="BI709" t="s">
        <v>98</v>
      </c>
      <c r="BK709" t="s">
        <v>138</v>
      </c>
      <c r="BU709">
        <v>6</v>
      </c>
      <c r="BW709">
        <v>0.75</v>
      </c>
      <c r="BX709">
        <v>14</v>
      </c>
      <c r="BY709" t="s">
        <v>291</v>
      </c>
      <c r="BZ709" t="s">
        <v>302</v>
      </c>
      <c r="CA709" t="s">
        <v>2282</v>
      </c>
      <c r="CB709" t="s">
        <v>302</v>
      </c>
      <c r="CC709">
        <v>190</v>
      </c>
      <c r="CD709">
        <v>0.38700000000000001</v>
      </c>
      <c r="CE709">
        <v>42.98</v>
      </c>
      <c r="CF709">
        <v>3558</v>
      </c>
      <c r="CG709">
        <v>3000</v>
      </c>
      <c r="CH709">
        <v>83</v>
      </c>
      <c r="CI709">
        <v>1363</v>
      </c>
      <c r="CJ709">
        <v>537</v>
      </c>
      <c r="CK709">
        <v>30000</v>
      </c>
      <c r="CL709" t="s">
        <v>291</v>
      </c>
      <c r="CM709" t="s">
        <v>291</v>
      </c>
      <c r="CN709" t="s">
        <v>2208</v>
      </c>
      <c r="CO709" s="1">
        <v>42776</v>
      </c>
      <c r="CP709" s="1">
        <v>43595</v>
      </c>
    </row>
    <row r="710" spans="1:94" x14ac:dyDescent="0.25">
      <c r="A710" s="4" t="s">
        <v>2291</v>
      </c>
      <c r="B710" t="str">
        <f xml:space="preserve"> "" &amp; 706411055331</f>
        <v>706411055331</v>
      </c>
      <c r="C710" t="s">
        <v>2216</v>
      </c>
      <c r="D710" t="s">
        <v>4461</v>
      </c>
      <c r="E710" t="str">
        <f xml:space="preserve"> "CONCEPT" &amp;  CHAR(153) &amp; " I 52"" LED"</f>
        <v>CONCEPT™ I 52" LED</v>
      </c>
      <c r="F710" t="s">
        <v>2113</v>
      </c>
      <c r="G710">
        <v>1</v>
      </c>
      <c r="H710">
        <v>1</v>
      </c>
      <c r="I710" t="s">
        <v>97</v>
      </c>
      <c r="J710" s="32">
        <v>169.95</v>
      </c>
      <c r="K710" s="32">
        <v>509.85</v>
      </c>
      <c r="L710">
        <v>0</v>
      </c>
      <c r="N710">
        <v>0</v>
      </c>
      <c r="Q710" t="s">
        <v>291</v>
      </c>
      <c r="R710" s="32">
        <v>339.95</v>
      </c>
      <c r="S710">
        <v>17.5</v>
      </c>
      <c r="T710">
        <v>52</v>
      </c>
      <c r="U710">
        <v>52</v>
      </c>
      <c r="W710">
        <v>24.76</v>
      </c>
      <c r="X710">
        <v>1</v>
      </c>
      <c r="Y710">
        <v>12.13</v>
      </c>
      <c r="Z710">
        <v>24.63</v>
      </c>
      <c r="AA710">
        <v>13.63</v>
      </c>
      <c r="AB710">
        <v>2.3570000000000002</v>
      </c>
      <c r="AC710">
        <v>27.84</v>
      </c>
      <c r="AE710">
        <v>1</v>
      </c>
      <c r="AF710" t="s">
        <v>2141</v>
      </c>
      <c r="AG710">
        <v>14</v>
      </c>
      <c r="AK710" t="s">
        <v>291</v>
      </c>
      <c r="AM710" t="s">
        <v>98</v>
      </c>
      <c r="AN710" t="s">
        <v>98</v>
      </c>
      <c r="AO710" t="s">
        <v>291</v>
      </c>
      <c r="AP710" t="s">
        <v>99</v>
      </c>
      <c r="AQ710" t="s">
        <v>102</v>
      </c>
      <c r="AV710" t="s">
        <v>98</v>
      </c>
      <c r="AX710" t="s">
        <v>150</v>
      </c>
      <c r="AZ710" t="s">
        <v>109</v>
      </c>
      <c r="BB710" t="s">
        <v>106</v>
      </c>
      <c r="BC710" t="s">
        <v>2204</v>
      </c>
      <c r="BF710" t="s">
        <v>2292</v>
      </c>
      <c r="BG710" t="s">
        <v>98</v>
      </c>
      <c r="BH710" t="s">
        <v>98</v>
      </c>
      <c r="BI710" t="s">
        <v>98</v>
      </c>
      <c r="BK710" t="s">
        <v>138</v>
      </c>
      <c r="BU710">
        <v>6</v>
      </c>
      <c r="BW710">
        <v>0.75</v>
      </c>
      <c r="BX710">
        <v>14</v>
      </c>
      <c r="BY710" t="s">
        <v>291</v>
      </c>
      <c r="BZ710" t="s">
        <v>441</v>
      </c>
      <c r="CA710" t="s">
        <v>2293</v>
      </c>
      <c r="CB710" t="s">
        <v>150</v>
      </c>
      <c r="CC710">
        <v>183</v>
      </c>
      <c r="CD710">
        <v>0.51700000000000002</v>
      </c>
      <c r="CE710">
        <v>61</v>
      </c>
      <c r="CF710">
        <v>6028</v>
      </c>
      <c r="CG710">
        <v>3000</v>
      </c>
      <c r="CH710">
        <v>83</v>
      </c>
      <c r="CI710">
        <v>1363</v>
      </c>
      <c r="CJ710">
        <v>537</v>
      </c>
      <c r="CK710">
        <v>30000</v>
      </c>
      <c r="CL710" t="s">
        <v>291</v>
      </c>
      <c r="CM710" t="s">
        <v>291</v>
      </c>
      <c r="CN710" t="s">
        <v>2294</v>
      </c>
      <c r="CO710" s="1">
        <v>42788</v>
      </c>
      <c r="CP710" s="1">
        <v>43595</v>
      </c>
    </row>
    <row r="711" spans="1:94" x14ac:dyDescent="0.25">
      <c r="A711" s="4" t="s">
        <v>2295</v>
      </c>
      <c r="B711" t="str">
        <f xml:space="preserve"> "" &amp; 706411055355</f>
        <v>706411055355</v>
      </c>
      <c r="C711" t="s">
        <v>2296</v>
      </c>
      <c r="D711" t="s">
        <v>4461</v>
      </c>
      <c r="E711" t="str">
        <f xml:space="preserve"> "CONCEPT" &amp;  CHAR(153) &amp; " I 52"" LED"</f>
        <v>CONCEPT™ I 52" LED</v>
      </c>
      <c r="F711" t="s">
        <v>2113</v>
      </c>
      <c r="G711">
        <v>1</v>
      </c>
      <c r="H711">
        <v>1</v>
      </c>
      <c r="I711" t="s">
        <v>97</v>
      </c>
      <c r="J711" s="32">
        <v>169.95</v>
      </c>
      <c r="K711" s="32">
        <v>509.85</v>
      </c>
      <c r="L711">
        <v>0</v>
      </c>
      <c r="N711">
        <v>0</v>
      </c>
      <c r="Q711" t="s">
        <v>291</v>
      </c>
      <c r="R711" s="32">
        <v>339.95</v>
      </c>
      <c r="S711">
        <v>17.5</v>
      </c>
      <c r="T711">
        <v>52</v>
      </c>
      <c r="U711">
        <v>52</v>
      </c>
      <c r="W711">
        <v>24.76</v>
      </c>
      <c r="X711">
        <v>1</v>
      </c>
      <c r="Y711">
        <v>12.13</v>
      </c>
      <c r="Z711">
        <v>24.63</v>
      </c>
      <c r="AA711">
        <v>13.63</v>
      </c>
      <c r="AB711">
        <v>2.3570000000000002</v>
      </c>
      <c r="AC711">
        <v>27.84</v>
      </c>
      <c r="AE711">
        <v>1</v>
      </c>
      <c r="AF711" t="s">
        <v>2141</v>
      </c>
      <c r="AG711">
        <v>14</v>
      </c>
      <c r="AK711" t="s">
        <v>291</v>
      </c>
      <c r="AM711" t="s">
        <v>98</v>
      </c>
      <c r="AN711" t="s">
        <v>98</v>
      </c>
      <c r="AO711" t="s">
        <v>291</v>
      </c>
      <c r="AP711" t="s">
        <v>99</v>
      </c>
      <c r="AQ711" t="s">
        <v>102</v>
      </c>
      <c r="AV711" t="s">
        <v>98</v>
      </c>
      <c r="AX711" t="s">
        <v>245</v>
      </c>
      <c r="AZ711" t="s">
        <v>109</v>
      </c>
      <c r="BB711" t="s">
        <v>106</v>
      </c>
      <c r="BC711" t="s">
        <v>2204</v>
      </c>
      <c r="BF711" t="s">
        <v>2297</v>
      </c>
      <c r="BG711" t="s">
        <v>98</v>
      </c>
      <c r="BH711" t="s">
        <v>98</v>
      </c>
      <c r="BI711" t="s">
        <v>98</v>
      </c>
      <c r="BK711" t="s">
        <v>138</v>
      </c>
      <c r="BU711">
        <v>6</v>
      </c>
      <c r="BW711">
        <v>0.75</v>
      </c>
      <c r="BX711">
        <v>14</v>
      </c>
      <c r="BY711" t="s">
        <v>291</v>
      </c>
      <c r="BZ711" t="s">
        <v>2212</v>
      </c>
      <c r="CA711" t="s">
        <v>2293</v>
      </c>
      <c r="CB711" t="s">
        <v>245</v>
      </c>
      <c r="CC711">
        <v>183</v>
      </c>
      <c r="CD711">
        <v>0.51700000000000002</v>
      </c>
      <c r="CE711">
        <v>61.55</v>
      </c>
      <c r="CF711">
        <v>5236</v>
      </c>
      <c r="CG711">
        <v>3000</v>
      </c>
      <c r="CH711">
        <v>83</v>
      </c>
      <c r="CI711">
        <v>1363</v>
      </c>
      <c r="CJ711">
        <v>537</v>
      </c>
      <c r="CK711">
        <v>30000</v>
      </c>
      <c r="CL711" t="s">
        <v>291</v>
      </c>
      <c r="CM711" t="s">
        <v>291</v>
      </c>
      <c r="CN711" t="s">
        <v>2283</v>
      </c>
      <c r="CO711" s="1">
        <v>42788</v>
      </c>
      <c r="CP711" s="1">
        <v>43595</v>
      </c>
    </row>
    <row r="712" spans="1:94" x14ac:dyDescent="0.25">
      <c r="A712" s="4" t="s">
        <v>2298</v>
      </c>
      <c r="B712" t="str">
        <f xml:space="preserve"> "" &amp; 706411055454</f>
        <v>706411055454</v>
      </c>
      <c r="C712" t="s">
        <v>2299</v>
      </c>
      <c r="D712" t="s">
        <v>4461</v>
      </c>
      <c r="E712" t="str">
        <f xml:space="preserve"> "CONCEPT" &amp;  CHAR(153) &amp; " I 52"" LED"</f>
        <v>CONCEPT™ I 52" LED</v>
      </c>
      <c r="F712" t="s">
        <v>2113</v>
      </c>
      <c r="G712">
        <v>1</v>
      </c>
      <c r="H712">
        <v>1</v>
      </c>
      <c r="I712" t="s">
        <v>97</v>
      </c>
      <c r="J712" s="32">
        <v>159.94999999999999</v>
      </c>
      <c r="K712" s="32">
        <v>479.85</v>
      </c>
      <c r="L712">
        <v>0</v>
      </c>
      <c r="N712">
        <v>0</v>
      </c>
      <c r="Q712" t="s">
        <v>291</v>
      </c>
      <c r="R712" s="32">
        <v>319.95</v>
      </c>
      <c r="S712">
        <v>17.5</v>
      </c>
      <c r="T712">
        <v>52</v>
      </c>
      <c r="U712">
        <v>52</v>
      </c>
      <c r="W712">
        <v>24.76</v>
      </c>
      <c r="X712">
        <v>1</v>
      </c>
      <c r="Y712">
        <v>12.13</v>
      </c>
      <c r="Z712">
        <v>24.63</v>
      </c>
      <c r="AA712">
        <v>13.63</v>
      </c>
      <c r="AB712">
        <v>2.3570000000000002</v>
      </c>
      <c r="AC712">
        <v>27.84</v>
      </c>
      <c r="AE712">
        <v>1</v>
      </c>
      <c r="AF712" t="s">
        <v>2141</v>
      </c>
      <c r="AG712">
        <v>14</v>
      </c>
      <c r="AK712" t="s">
        <v>291</v>
      </c>
      <c r="AM712" t="s">
        <v>98</v>
      </c>
      <c r="AN712" t="s">
        <v>98</v>
      </c>
      <c r="AO712" t="s">
        <v>291</v>
      </c>
      <c r="AP712" t="s">
        <v>99</v>
      </c>
      <c r="AQ712" t="s">
        <v>102</v>
      </c>
      <c r="AV712" t="s">
        <v>98</v>
      </c>
      <c r="AX712" t="s">
        <v>302</v>
      </c>
      <c r="AZ712" t="s">
        <v>109</v>
      </c>
      <c r="BB712" t="s">
        <v>106</v>
      </c>
      <c r="BC712" t="s">
        <v>2204</v>
      </c>
      <c r="BF712" t="s">
        <v>2300</v>
      </c>
      <c r="BG712" t="s">
        <v>98</v>
      </c>
      <c r="BH712" t="s">
        <v>98</v>
      </c>
      <c r="BI712" t="s">
        <v>98</v>
      </c>
      <c r="BK712" t="s">
        <v>138</v>
      </c>
      <c r="BU712">
        <v>6</v>
      </c>
      <c r="BW712">
        <v>0.75</v>
      </c>
      <c r="BX712">
        <v>14</v>
      </c>
      <c r="BY712" t="s">
        <v>291</v>
      </c>
      <c r="BZ712" t="s">
        <v>302</v>
      </c>
      <c r="CA712" t="s">
        <v>2293</v>
      </c>
      <c r="CB712" t="s">
        <v>302</v>
      </c>
      <c r="CC712">
        <v>183</v>
      </c>
      <c r="CD712">
        <v>0.51700000000000002</v>
      </c>
      <c r="CE712">
        <v>61.55</v>
      </c>
      <c r="CF712">
        <v>5236</v>
      </c>
      <c r="CG712">
        <v>3000</v>
      </c>
      <c r="CH712">
        <v>83</v>
      </c>
      <c r="CI712">
        <v>1363</v>
      </c>
      <c r="CJ712">
        <v>537</v>
      </c>
      <c r="CK712">
        <v>30000</v>
      </c>
      <c r="CL712" t="s">
        <v>291</v>
      </c>
      <c r="CM712" t="s">
        <v>291</v>
      </c>
      <c r="CN712" t="s">
        <v>2283</v>
      </c>
      <c r="CO712" s="1">
        <v>42788</v>
      </c>
      <c r="CP712" s="1">
        <v>43595</v>
      </c>
    </row>
    <row r="713" spans="1:94" x14ac:dyDescent="0.25">
      <c r="A713" s="4" t="s">
        <v>2301</v>
      </c>
      <c r="B713" t="str">
        <f xml:space="preserve"> "" &amp; 706411055393</f>
        <v>706411055393</v>
      </c>
      <c r="C713" t="s">
        <v>2302</v>
      </c>
      <c r="D713" t="s">
        <v>4463</v>
      </c>
      <c r="E713" t="str">
        <f xml:space="preserve"> "CONCEPT" &amp;  CHAR(153) &amp; " II 44"" LED"</f>
        <v>CONCEPT™ II 44" LED</v>
      </c>
      <c r="F713" t="s">
        <v>2113</v>
      </c>
      <c r="G713">
        <v>1</v>
      </c>
      <c r="H713">
        <v>1</v>
      </c>
      <c r="I713" t="s">
        <v>97</v>
      </c>
      <c r="J713" s="32">
        <v>169.95</v>
      </c>
      <c r="K713" s="32">
        <v>509.85</v>
      </c>
      <c r="L713">
        <v>0</v>
      </c>
      <c r="N713">
        <v>0</v>
      </c>
      <c r="Q713" t="s">
        <v>291</v>
      </c>
      <c r="R713" s="32">
        <v>339.95</v>
      </c>
      <c r="S713">
        <v>11.5</v>
      </c>
      <c r="T713">
        <v>44</v>
      </c>
      <c r="U713">
        <v>44</v>
      </c>
      <c r="W713">
        <v>23.57</v>
      </c>
      <c r="X713">
        <v>1</v>
      </c>
      <c r="Y713">
        <v>13.13</v>
      </c>
      <c r="Z713">
        <v>24.63</v>
      </c>
      <c r="AA713">
        <v>13.63</v>
      </c>
      <c r="AB713">
        <v>2.5510000000000002</v>
      </c>
      <c r="AC713">
        <v>26.65</v>
      </c>
      <c r="AE713">
        <v>1</v>
      </c>
      <c r="AF713" t="s">
        <v>2141</v>
      </c>
      <c r="AG713">
        <v>15</v>
      </c>
      <c r="AK713" t="s">
        <v>291</v>
      </c>
      <c r="AM713" t="s">
        <v>98</v>
      </c>
      <c r="AN713" t="s">
        <v>291</v>
      </c>
      <c r="AO713" t="s">
        <v>98</v>
      </c>
      <c r="AP713" t="s">
        <v>99</v>
      </c>
      <c r="AQ713" t="s">
        <v>102</v>
      </c>
      <c r="AV713" t="s">
        <v>98</v>
      </c>
      <c r="AX713" t="s">
        <v>150</v>
      </c>
      <c r="AZ713" t="s">
        <v>109</v>
      </c>
      <c r="BB713" t="s">
        <v>106</v>
      </c>
      <c r="BC713" t="s">
        <v>2204</v>
      </c>
      <c r="BF713" t="s">
        <v>2303</v>
      </c>
      <c r="BG713" t="s">
        <v>98</v>
      </c>
      <c r="BH713" t="s">
        <v>98</v>
      </c>
      <c r="BI713" t="s">
        <v>98</v>
      </c>
      <c r="BK713" t="s">
        <v>138</v>
      </c>
      <c r="BX713" t="s">
        <v>2218</v>
      </c>
      <c r="BY713" t="s">
        <v>291</v>
      </c>
      <c r="BZ713" t="s">
        <v>441</v>
      </c>
      <c r="CA713" t="s">
        <v>2304</v>
      </c>
      <c r="CB713" t="s">
        <v>150</v>
      </c>
      <c r="CC713">
        <v>180</v>
      </c>
      <c r="CD713">
        <v>0.39400000000000002</v>
      </c>
      <c r="CE713">
        <v>43.09</v>
      </c>
      <c r="CF713">
        <v>3783</v>
      </c>
      <c r="CG713">
        <v>3000</v>
      </c>
      <c r="CH713">
        <v>83</v>
      </c>
      <c r="CI713">
        <v>1363</v>
      </c>
      <c r="CJ713">
        <v>537</v>
      </c>
      <c r="CK713">
        <v>30000</v>
      </c>
      <c r="CL713" t="s">
        <v>291</v>
      </c>
      <c r="CM713" t="s">
        <v>98</v>
      </c>
      <c r="CN713" t="s">
        <v>2208</v>
      </c>
      <c r="CO713" s="1">
        <v>42796</v>
      </c>
      <c r="CP713" s="1">
        <v>43595</v>
      </c>
    </row>
    <row r="714" spans="1:94" x14ac:dyDescent="0.25">
      <c r="A714" s="4" t="s">
        <v>2305</v>
      </c>
      <c r="B714" t="str">
        <f xml:space="preserve"> "" &amp; 706411055379</f>
        <v>706411055379</v>
      </c>
      <c r="C714" t="s">
        <v>2302</v>
      </c>
      <c r="D714" t="s">
        <v>4463</v>
      </c>
      <c r="E714" t="str">
        <f xml:space="preserve"> "CONCEPT" &amp;  CHAR(153) &amp; " II 44"" LED"</f>
        <v>CONCEPT™ II 44" LED</v>
      </c>
      <c r="F714" t="s">
        <v>2113</v>
      </c>
      <c r="G714">
        <v>1</v>
      </c>
      <c r="H714">
        <v>1</v>
      </c>
      <c r="I714" t="s">
        <v>97</v>
      </c>
      <c r="J714" s="32">
        <v>169.95</v>
      </c>
      <c r="K714" s="32">
        <v>509.85</v>
      </c>
      <c r="L714">
        <v>0</v>
      </c>
      <c r="N714">
        <v>0</v>
      </c>
      <c r="Q714" t="s">
        <v>291</v>
      </c>
      <c r="R714" s="32">
        <v>339.95</v>
      </c>
      <c r="S714">
        <v>11.5</v>
      </c>
      <c r="T714">
        <v>44</v>
      </c>
      <c r="U714">
        <v>44</v>
      </c>
      <c r="W714">
        <v>24.03</v>
      </c>
      <c r="X714">
        <v>1</v>
      </c>
      <c r="Y714">
        <v>13.13</v>
      </c>
      <c r="Z714">
        <v>24.63</v>
      </c>
      <c r="AA714">
        <v>13.63</v>
      </c>
      <c r="AB714">
        <v>2.5510000000000002</v>
      </c>
      <c r="AC714">
        <v>27.43</v>
      </c>
      <c r="AE714">
        <v>1</v>
      </c>
      <c r="AF714" t="s">
        <v>2141</v>
      </c>
      <c r="AG714">
        <v>15</v>
      </c>
      <c r="AK714" t="s">
        <v>291</v>
      </c>
      <c r="AM714" t="s">
        <v>98</v>
      </c>
      <c r="AN714" t="s">
        <v>291</v>
      </c>
      <c r="AO714" t="s">
        <v>98</v>
      </c>
      <c r="AP714" t="s">
        <v>99</v>
      </c>
      <c r="AQ714" t="s">
        <v>102</v>
      </c>
      <c r="AV714" t="s">
        <v>98</v>
      </c>
      <c r="AX714" t="s">
        <v>245</v>
      </c>
      <c r="AZ714" t="s">
        <v>109</v>
      </c>
      <c r="BB714" t="s">
        <v>106</v>
      </c>
      <c r="BC714" t="s">
        <v>2204</v>
      </c>
      <c r="BF714" t="s">
        <v>2306</v>
      </c>
      <c r="BG714" t="s">
        <v>98</v>
      </c>
      <c r="BH714" t="s">
        <v>98</v>
      </c>
      <c r="BI714" t="s">
        <v>98</v>
      </c>
      <c r="BK714" t="s">
        <v>138</v>
      </c>
      <c r="BX714" t="s">
        <v>2218</v>
      </c>
      <c r="BY714" t="s">
        <v>291</v>
      </c>
      <c r="BZ714" t="s">
        <v>2212</v>
      </c>
      <c r="CA714" t="s">
        <v>2304</v>
      </c>
      <c r="CB714" t="s">
        <v>245</v>
      </c>
      <c r="CC714">
        <v>180</v>
      </c>
      <c r="CD714">
        <v>0.39400000000000002</v>
      </c>
      <c r="CE714">
        <v>43.09</v>
      </c>
      <c r="CF714">
        <v>3783</v>
      </c>
      <c r="CG714">
        <v>3000</v>
      </c>
      <c r="CH714">
        <v>83</v>
      </c>
      <c r="CI714">
        <v>1363</v>
      </c>
      <c r="CJ714">
        <v>537</v>
      </c>
      <c r="CK714">
        <v>30000</v>
      </c>
      <c r="CL714" t="s">
        <v>291</v>
      </c>
      <c r="CM714" t="s">
        <v>98</v>
      </c>
      <c r="CN714" t="s">
        <v>2307</v>
      </c>
      <c r="CO714" s="1">
        <v>42796</v>
      </c>
      <c r="CP714" s="1">
        <v>43595</v>
      </c>
    </row>
    <row r="715" spans="1:94" x14ac:dyDescent="0.25">
      <c r="A715" s="4" t="s">
        <v>2308</v>
      </c>
      <c r="B715" t="str">
        <f xml:space="preserve"> "" &amp; 706411055485</f>
        <v>706411055485</v>
      </c>
      <c r="C715" t="s">
        <v>2302</v>
      </c>
      <c r="D715" t="s">
        <v>4463</v>
      </c>
      <c r="E715" t="str">
        <f xml:space="preserve"> "CONCEPT" &amp;  CHAR(153) &amp; " II 44"" LED"</f>
        <v>CONCEPT™ II 44" LED</v>
      </c>
      <c r="F715" t="s">
        <v>2113</v>
      </c>
      <c r="G715">
        <v>1</v>
      </c>
      <c r="H715">
        <v>1</v>
      </c>
      <c r="I715" t="s">
        <v>97</v>
      </c>
      <c r="J715" s="32">
        <v>169.95</v>
      </c>
      <c r="K715" s="32">
        <v>509.85</v>
      </c>
      <c r="L715">
        <v>0</v>
      </c>
      <c r="N715">
        <v>0</v>
      </c>
      <c r="Q715" t="s">
        <v>291</v>
      </c>
      <c r="R715" s="32">
        <v>339.95</v>
      </c>
      <c r="S715">
        <v>11.5</v>
      </c>
      <c r="T715">
        <v>44</v>
      </c>
      <c r="U715">
        <v>44</v>
      </c>
      <c r="W715">
        <v>23.57</v>
      </c>
      <c r="X715">
        <v>1</v>
      </c>
      <c r="AB715">
        <v>2.5510000000000002</v>
      </c>
      <c r="AC715">
        <v>27.43</v>
      </c>
      <c r="AE715">
        <v>1</v>
      </c>
      <c r="AF715" t="s">
        <v>2141</v>
      </c>
      <c r="AG715">
        <v>14</v>
      </c>
      <c r="AK715" t="s">
        <v>291</v>
      </c>
      <c r="AM715" t="s">
        <v>98</v>
      </c>
      <c r="AN715" t="s">
        <v>98</v>
      </c>
      <c r="AO715" t="s">
        <v>291</v>
      </c>
      <c r="AP715" t="s">
        <v>99</v>
      </c>
      <c r="AQ715" t="s">
        <v>102</v>
      </c>
      <c r="AV715" t="s">
        <v>98</v>
      </c>
      <c r="AX715" t="s">
        <v>257</v>
      </c>
      <c r="AZ715" t="s">
        <v>109</v>
      </c>
      <c r="BB715" t="s">
        <v>106</v>
      </c>
      <c r="BC715" t="s">
        <v>2204</v>
      </c>
      <c r="BF715" t="s">
        <v>2309</v>
      </c>
      <c r="BG715" t="s">
        <v>98</v>
      </c>
      <c r="BH715" t="s">
        <v>98</v>
      </c>
      <c r="BI715" t="s">
        <v>98</v>
      </c>
      <c r="BK715" t="s">
        <v>138</v>
      </c>
      <c r="BX715" t="s">
        <v>2218</v>
      </c>
      <c r="BY715" t="s">
        <v>291</v>
      </c>
      <c r="BZ715" t="s">
        <v>441</v>
      </c>
      <c r="CA715" t="s">
        <v>2304</v>
      </c>
      <c r="CB715" t="s">
        <v>257</v>
      </c>
      <c r="CC715">
        <v>180</v>
      </c>
      <c r="CD715">
        <v>0.39400000000000002</v>
      </c>
      <c r="CE715">
        <v>43.09</v>
      </c>
      <c r="CF715">
        <v>3783</v>
      </c>
      <c r="CG715">
        <v>3000</v>
      </c>
      <c r="CH715">
        <v>83</v>
      </c>
      <c r="CI715">
        <v>1363</v>
      </c>
      <c r="CJ715">
        <v>537</v>
      </c>
      <c r="CK715">
        <v>30000</v>
      </c>
      <c r="CL715" t="s">
        <v>291</v>
      </c>
      <c r="CM715" t="s">
        <v>98</v>
      </c>
      <c r="CN715" t="s">
        <v>2208</v>
      </c>
      <c r="CO715" s="1">
        <v>42796</v>
      </c>
      <c r="CP715" s="1">
        <v>43595</v>
      </c>
    </row>
    <row r="716" spans="1:94" x14ac:dyDescent="0.25">
      <c r="A716" s="4" t="s">
        <v>2310</v>
      </c>
      <c r="B716" t="str">
        <f xml:space="preserve"> "" &amp; 706411055386</f>
        <v>706411055386</v>
      </c>
      <c r="C716" t="s">
        <v>2302</v>
      </c>
      <c r="D716" t="s">
        <v>4463</v>
      </c>
      <c r="E716" t="str">
        <f xml:space="preserve"> "CONCEPT" &amp;  CHAR(153) &amp; " II 44"" LED"</f>
        <v>CONCEPT™ II 44" LED</v>
      </c>
      <c r="F716" t="s">
        <v>2113</v>
      </c>
      <c r="G716">
        <v>1</v>
      </c>
      <c r="H716">
        <v>1</v>
      </c>
      <c r="I716" t="s">
        <v>97</v>
      </c>
      <c r="J716" s="32">
        <v>159.94999999999999</v>
      </c>
      <c r="K716" s="32">
        <v>479.85</v>
      </c>
      <c r="L716">
        <v>0</v>
      </c>
      <c r="N716">
        <v>0</v>
      </c>
      <c r="Q716" t="s">
        <v>291</v>
      </c>
      <c r="R716" s="32">
        <v>319.95</v>
      </c>
      <c r="S716">
        <v>11.5</v>
      </c>
      <c r="T716">
        <v>44</v>
      </c>
      <c r="U716">
        <v>44</v>
      </c>
      <c r="W716">
        <v>23.57</v>
      </c>
      <c r="X716">
        <v>1</v>
      </c>
      <c r="Y716">
        <v>13.13</v>
      </c>
      <c r="Z716">
        <v>24.63</v>
      </c>
      <c r="AA716">
        <v>13.63</v>
      </c>
      <c r="AB716">
        <v>2.5510000000000002</v>
      </c>
      <c r="AC716">
        <v>27.43</v>
      </c>
      <c r="AE716">
        <v>1</v>
      </c>
      <c r="AF716" t="s">
        <v>2141</v>
      </c>
      <c r="AG716">
        <v>15</v>
      </c>
      <c r="AK716" t="s">
        <v>291</v>
      </c>
      <c r="AM716" t="s">
        <v>98</v>
      </c>
      <c r="AN716" t="s">
        <v>98</v>
      </c>
      <c r="AO716" t="s">
        <v>291</v>
      </c>
      <c r="AP716" t="s">
        <v>99</v>
      </c>
      <c r="AQ716" t="s">
        <v>102</v>
      </c>
      <c r="AV716" t="s">
        <v>98</v>
      </c>
      <c r="AX716" t="s">
        <v>302</v>
      </c>
      <c r="AZ716" t="s">
        <v>109</v>
      </c>
      <c r="BB716" t="s">
        <v>106</v>
      </c>
      <c r="BC716" t="s">
        <v>2204</v>
      </c>
      <c r="BF716" t="s">
        <v>2311</v>
      </c>
      <c r="BG716" t="s">
        <v>98</v>
      </c>
      <c r="BH716" t="s">
        <v>98</v>
      </c>
      <c r="BI716" t="s">
        <v>98</v>
      </c>
      <c r="BK716" t="s">
        <v>138</v>
      </c>
      <c r="BX716" t="s">
        <v>2218</v>
      </c>
      <c r="BY716" t="s">
        <v>291</v>
      </c>
      <c r="BZ716" t="s">
        <v>302</v>
      </c>
      <c r="CA716" t="s">
        <v>2304</v>
      </c>
      <c r="CB716" t="s">
        <v>302</v>
      </c>
      <c r="CC716">
        <v>180</v>
      </c>
      <c r="CD716">
        <v>0.39400000000000002</v>
      </c>
      <c r="CE716">
        <v>43.09</v>
      </c>
      <c r="CF716">
        <v>3783</v>
      </c>
      <c r="CG716">
        <v>3000</v>
      </c>
      <c r="CH716">
        <v>83</v>
      </c>
      <c r="CI716">
        <v>1363</v>
      </c>
      <c r="CJ716">
        <v>537</v>
      </c>
      <c r="CK716">
        <v>30000</v>
      </c>
      <c r="CL716" t="s">
        <v>291</v>
      </c>
      <c r="CM716" t="s">
        <v>98</v>
      </c>
      <c r="CN716" t="s">
        <v>2307</v>
      </c>
      <c r="CO716" s="1">
        <v>42796</v>
      </c>
      <c r="CP716" s="1">
        <v>43595</v>
      </c>
    </row>
    <row r="717" spans="1:94" x14ac:dyDescent="0.25">
      <c r="A717" s="4" t="s">
        <v>2312</v>
      </c>
      <c r="B717" t="str">
        <f xml:space="preserve"> "" &amp; 706411055577</f>
        <v>706411055577</v>
      </c>
      <c r="C717" t="s">
        <v>2203</v>
      </c>
      <c r="D717" t="s">
        <v>4464</v>
      </c>
      <c r="E717" t="str">
        <f xml:space="preserve"> "CONCEPT" &amp;  CHAR(153) &amp; " II 52"" LED"</f>
        <v>CONCEPT™ II 52" LED</v>
      </c>
      <c r="F717" t="s">
        <v>2113</v>
      </c>
      <c r="G717">
        <v>1</v>
      </c>
      <c r="H717">
        <v>1</v>
      </c>
      <c r="I717" t="s">
        <v>97</v>
      </c>
      <c r="J717" s="32">
        <v>169.95</v>
      </c>
      <c r="K717" s="32">
        <v>509.85</v>
      </c>
      <c r="L717">
        <v>0</v>
      </c>
      <c r="N717">
        <v>0</v>
      </c>
      <c r="Q717" t="s">
        <v>291</v>
      </c>
      <c r="R717" s="32">
        <v>339.95</v>
      </c>
      <c r="S717">
        <v>11.5</v>
      </c>
      <c r="T717">
        <v>52</v>
      </c>
      <c r="U717">
        <v>52</v>
      </c>
      <c r="W717">
        <v>26.76</v>
      </c>
      <c r="X717">
        <v>1</v>
      </c>
      <c r="Y717">
        <v>13.13</v>
      </c>
      <c r="Z717">
        <v>24.63</v>
      </c>
      <c r="AA717">
        <v>13.63</v>
      </c>
      <c r="AB717">
        <v>2.5510000000000002</v>
      </c>
      <c r="AC717">
        <v>30.93</v>
      </c>
      <c r="AE717">
        <v>1</v>
      </c>
      <c r="AF717" t="s">
        <v>2141</v>
      </c>
      <c r="AG717">
        <v>14</v>
      </c>
      <c r="AK717" t="s">
        <v>291</v>
      </c>
      <c r="AM717" t="s">
        <v>98</v>
      </c>
      <c r="AN717" t="s">
        <v>98</v>
      </c>
      <c r="AO717" t="s">
        <v>291</v>
      </c>
      <c r="AP717" t="s">
        <v>99</v>
      </c>
      <c r="AQ717" t="s">
        <v>102</v>
      </c>
      <c r="AV717" t="s">
        <v>98</v>
      </c>
      <c r="AX717" t="s">
        <v>150</v>
      </c>
      <c r="AZ717" t="s">
        <v>109</v>
      </c>
      <c r="BB717" t="s">
        <v>106</v>
      </c>
      <c r="BC717" t="s">
        <v>2204</v>
      </c>
      <c r="BF717" t="s">
        <v>2313</v>
      </c>
      <c r="BG717" t="s">
        <v>98</v>
      </c>
      <c r="BH717" t="s">
        <v>98</v>
      </c>
      <c r="BI717" t="s">
        <v>98</v>
      </c>
      <c r="BK717" t="s">
        <v>138</v>
      </c>
      <c r="BX717" t="s">
        <v>2218</v>
      </c>
      <c r="BY717" t="s">
        <v>291</v>
      </c>
      <c r="BZ717" t="s">
        <v>441</v>
      </c>
      <c r="CA717" t="s">
        <v>2314</v>
      </c>
      <c r="CB717" t="s">
        <v>150</v>
      </c>
      <c r="CC717">
        <v>170</v>
      </c>
      <c r="CD717">
        <v>0.52300000000000002</v>
      </c>
      <c r="CE717">
        <v>62.46</v>
      </c>
      <c r="CF717">
        <v>5491</v>
      </c>
      <c r="CG717">
        <v>3000</v>
      </c>
      <c r="CH717">
        <v>83</v>
      </c>
      <c r="CI717">
        <v>1363</v>
      </c>
      <c r="CJ717">
        <v>537</v>
      </c>
      <c r="CK717">
        <v>30000</v>
      </c>
      <c r="CL717" t="s">
        <v>291</v>
      </c>
      <c r="CM717" t="s">
        <v>98</v>
      </c>
      <c r="CO717" s="1">
        <v>42796</v>
      </c>
      <c r="CP717" s="1">
        <v>43595</v>
      </c>
    </row>
    <row r="718" spans="1:94" x14ac:dyDescent="0.25">
      <c r="A718" s="4" t="s">
        <v>2315</v>
      </c>
      <c r="B718" t="str">
        <f xml:space="preserve"> "" &amp; 706411055492</f>
        <v>706411055492</v>
      </c>
      <c r="C718" t="s">
        <v>2203</v>
      </c>
      <c r="D718" t="s">
        <v>4464</v>
      </c>
      <c r="E718" t="str">
        <f xml:space="preserve"> "CONCEPT" &amp;  CHAR(153) &amp; " II 52"" LED"</f>
        <v>CONCEPT™ II 52" LED</v>
      </c>
      <c r="F718" t="s">
        <v>2113</v>
      </c>
      <c r="G718">
        <v>1</v>
      </c>
      <c r="H718">
        <v>1</v>
      </c>
      <c r="I718" t="s">
        <v>97</v>
      </c>
      <c r="J718" s="32">
        <v>169.95</v>
      </c>
      <c r="K718" s="32">
        <v>509.85</v>
      </c>
      <c r="L718">
        <v>0</v>
      </c>
      <c r="N718">
        <v>0</v>
      </c>
      <c r="Q718" t="s">
        <v>291</v>
      </c>
      <c r="R718" s="32">
        <v>339.95</v>
      </c>
      <c r="S718">
        <v>11.5</v>
      </c>
      <c r="T718">
        <v>52</v>
      </c>
      <c r="U718">
        <v>52</v>
      </c>
      <c r="W718">
        <v>26.76</v>
      </c>
      <c r="X718">
        <v>1</v>
      </c>
      <c r="Y718">
        <v>13.13</v>
      </c>
      <c r="Z718">
        <v>24.63</v>
      </c>
      <c r="AA718">
        <v>13.63</v>
      </c>
      <c r="AB718">
        <v>2.5510000000000002</v>
      </c>
      <c r="AC718">
        <v>30.93</v>
      </c>
      <c r="AE718">
        <v>1</v>
      </c>
      <c r="AF718" t="s">
        <v>2141</v>
      </c>
      <c r="AG718">
        <v>14</v>
      </c>
      <c r="AK718" t="s">
        <v>291</v>
      </c>
      <c r="AM718" t="s">
        <v>98</v>
      </c>
      <c r="AN718" t="s">
        <v>98</v>
      </c>
      <c r="AO718" t="s">
        <v>291</v>
      </c>
      <c r="AP718" t="s">
        <v>99</v>
      </c>
      <c r="AQ718" t="s">
        <v>102</v>
      </c>
      <c r="AV718" t="s">
        <v>98</v>
      </c>
      <c r="AX718" t="s">
        <v>245</v>
      </c>
      <c r="AZ718" t="s">
        <v>109</v>
      </c>
      <c r="BB718" t="s">
        <v>106</v>
      </c>
      <c r="BC718" t="s">
        <v>2204</v>
      </c>
      <c r="BF718" t="s">
        <v>2316</v>
      </c>
      <c r="BG718" t="s">
        <v>98</v>
      </c>
      <c r="BH718" t="s">
        <v>98</v>
      </c>
      <c r="BI718" t="s">
        <v>98</v>
      </c>
      <c r="BK718" t="s">
        <v>138</v>
      </c>
      <c r="BX718" t="s">
        <v>2218</v>
      </c>
      <c r="BY718" t="s">
        <v>291</v>
      </c>
      <c r="BZ718" t="s">
        <v>2212</v>
      </c>
      <c r="CA718" t="s">
        <v>2314</v>
      </c>
      <c r="CB718" t="s">
        <v>245</v>
      </c>
      <c r="CC718">
        <v>170</v>
      </c>
      <c r="CD718">
        <v>0.52300000000000002</v>
      </c>
      <c r="CE718">
        <v>62.46</v>
      </c>
      <c r="CF718">
        <v>5491</v>
      </c>
      <c r="CG718">
        <v>3000</v>
      </c>
      <c r="CH718">
        <v>83</v>
      </c>
      <c r="CI718">
        <v>1363</v>
      </c>
      <c r="CJ718">
        <v>537</v>
      </c>
      <c r="CK718">
        <v>30000</v>
      </c>
      <c r="CL718" t="s">
        <v>291</v>
      </c>
      <c r="CM718" t="s">
        <v>98</v>
      </c>
      <c r="CO718" s="1">
        <v>42796</v>
      </c>
      <c r="CP718" s="1">
        <v>43595</v>
      </c>
    </row>
    <row r="719" spans="1:94" x14ac:dyDescent="0.25">
      <c r="A719" s="4" t="s">
        <v>2317</v>
      </c>
      <c r="B719" t="str">
        <f xml:space="preserve"> "" &amp; 706411055584</f>
        <v>706411055584</v>
      </c>
      <c r="C719" t="s">
        <v>2203</v>
      </c>
      <c r="D719" t="s">
        <v>4464</v>
      </c>
      <c r="E719" t="str">
        <f xml:space="preserve"> "CONCEPT" &amp;  CHAR(153) &amp; " II 52"" LED"</f>
        <v>CONCEPT™ II 52" LED</v>
      </c>
      <c r="F719" t="s">
        <v>2113</v>
      </c>
      <c r="G719">
        <v>1</v>
      </c>
      <c r="H719">
        <v>1</v>
      </c>
      <c r="I719" t="s">
        <v>97</v>
      </c>
      <c r="J719" s="32">
        <v>169.95</v>
      </c>
      <c r="K719" s="32">
        <v>509.85</v>
      </c>
      <c r="L719">
        <v>0</v>
      </c>
      <c r="N719">
        <v>0</v>
      </c>
      <c r="Q719" t="s">
        <v>291</v>
      </c>
      <c r="R719" s="32">
        <v>339.95</v>
      </c>
      <c r="S719">
        <v>11.5</v>
      </c>
      <c r="T719">
        <v>52</v>
      </c>
      <c r="U719">
        <v>52</v>
      </c>
      <c r="W719">
        <v>26.76</v>
      </c>
      <c r="X719">
        <v>1</v>
      </c>
      <c r="Y719">
        <v>13.13</v>
      </c>
      <c r="Z719">
        <v>24.63</v>
      </c>
      <c r="AA719">
        <v>13.63</v>
      </c>
      <c r="AB719">
        <v>2.5510000000000002</v>
      </c>
      <c r="AC719">
        <v>30.93</v>
      </c>
      <c r="AE719">
        <v>1</v>
      </c>
      <c r="AF719" t="s">
        <v>2141</v>
      </c>
      <c r="AG719">
        <v>14</v>
      </c>
      <c r="AK719" t="s">
        <v>291</v>
      </c>
      <c r="AM719" t="s">
        <v>98</v>
      </c>
      <c r="AN719" t="s">
        <v>98</v>
      </c>
      <c r="AO719" t="s">
        <v>291</v>
      </c>
      <c r="AP719" t="s">
        <v>99</v>
      </c>
      <c r="AQ719" t="s">
        <v>102</v>
      </c>
      <c r="AV719" t="s">
        <v>98</v>
      </c>
      <c r="AX719" t="s">
        <v>257</v>
      </c>
      <c r="AZ719" t="s">
        <v>109</v>
      </c>
      <c r="BB719" t="s">
        <v>106</v>
      </c>
      <c r="BC719" t="s">
        <v>2204</v>
      </c>
      <c r="BF719" t="s">
        <v>2318</v>
      </c>
      <c r="BG719" t="s">
        <v>98</v>
      </c>
      <c r="BH719" t="s">
        <v>98</v>
      </c>
      <c r="BI719" t="s">
        <v>98</v>
      </c>
      <c r="BK719" t="s">
        <v>138</v>
      </c>
      <c r="BX719" t="s">
        <v>2218</v>
      </c>
      <c r="BY719" t="s">
        <v>291</v>
      </c>
      <c r="BZ719" t="s">
        <v>441</v>
      </c>
      <c r="CA719" t="s">
        <v>2314</v>
      </c>
      <c r="CB719" t="s">
        <v>257</v>
      </c>
      <c r="CC719">
        <v>170</v>
      </c>
      <c r="CD719">
        <v>0.52300000000000002</v>
      </c>
      <c r="CE719">
        <v>62.46</v>
      </c>
      <c r="CF719">
        <v>6491</v>
      </c>
      <c r="CG719">
        <v>3000</v>
      </c>
      <c r="CH719">
        <v>83</v>
      </c>
      <c r="CI719">
        <v>1363</v>
      </c>
      <c r="CJ719">
        <v>537</v>
      </c>
      <c r="CK719">
        <v>30000</v>
      </c>
      <c r="CL719" t="s">
        <v>291</v>
      </c>
      <c r="CM719" t="s">
        <v>98</v>
      </c>
      <c r="CO719" s="1">
        <v>42796</v>
      </c>
      <c r="CP719" s="1">
        <v>43595</v>
      </c>
    </row>
    <row r="720" spans="1:94" x14ac:dyDescent="0.25">
      <c r="A720" s="4" t="s">
        <v>2319</v>
      </c>
      <c r="B720" t="str">
        <f xml:space="preserve"> "" &amp; 706411055478</f>
        <v>706411055478</v>
      </c>
      <c r="C720" t="s">
        <v>2203</v>
      </c>
      <c r="D720" t="s">
        <v>4464</v>
      </c>
      <c r="E720" t="str">
        <f xml:space="preserve"> "CONCEPT" &amp;  CHAR(153) &amp; " II 52"" LED"</f>
        <v>CONCEPT™ II 52" LED</v>
      </c>
      <c r="F720" t="s">
        <v>2113</v>
      </c>
      <c r="G720">
        <v>1</v>
      </c>
      <c r="H720">
        <v>1</v>
      </c>
      <c r="I720" t="s">
        <v>97</v>
      </c>
      <c r="J720" s="32">
        <v>169.95</v>
      </c>
      <c r="K720" s="32">
        <v>509.85</v>
      </c>
      <c r="L720">
        <v>0</v>
      </c>
      <c r="N720">
        <v>0</v>
      </c>
      <c r="Q720" t="s">
        <v>291</v>
      </c>
      <c r="R720" s="32">
        <v>339.95</v>
      </c>
      <c r="S720">
        <v>11.5</v>
      </c>
      <c r="T720">
        <v>52</v>
      </c>
      <c r="U720">
        <v>52</v>
      </c>
      <c r="W720">
        <v>26.76</v>
      </c>
      <c r="X720">
        <v>1</v>
      </c>
      <c r="Y720">
        <v>13.13</v>
      </c>
      <c r="Z720">
        <v>24.63</v>
      </c>
      <c r="AA720">
        <v>13.63</v>
      </c>
      <c r="AB720">
        <v>2.5510000000000002</v>
      </c>
      <c r="AC720">
        <v>30.93</v>
      </c>
      <c r="AE720">
        <v>1</v>
      </c>
      <c r="AF720" t="s">
        <v>2141</v>
      </c>
      <c r="AG720">
        <v>14</v>
      </c>
      <c r="AK720" t="s">
        <v>291</v>
      </c>
      <c r="AM720" t="s">
        <v>98</v>
      </c>
      <c r="AN720" t="s">
        <v>98</v>
      </c>
      <c r="AO720" t="s">
        <v>291</v>
      </c>
      <c r="AP720" t="s">
        <v>99</v>
      </c>
      <c r="AQ720" t="s">
        <v>102</v>
      </c>
      <c r="AV720" t="s">
        <v>98</v>
      </c>
      <c r="AX720" t="s">
        <v>302</v>
      </c>
      <c r="AZ720" t="s">
        <v>109</v>
      </c>
      <c r="BB720" t="s">
        <v>106</v>
      </c>
      <c r="BC720" t="s">
        <v>2204</v>
      </c>
      <c r="BF720" t="s">
        <v>2320</v>
      </c>
      <c r="BG720" t="s">
        <v>98</v>
      </c>
      <c r="BH720" t="s">
        <v>98</v>
      </c>
      <c r="BI720" t="s">
        <v>98</v>
      </c>
      <c r="BK720" t="s">
        <v>138</v>
      </c>
      <c r="BX720" t="s">
        <v>2218</v>
      </c>
      <c r="BY720" t="s">
        <v>291</v>
      </c>
      <c r="BZ720" t="s">
        <v>302</v>
      </c>
      <c r="CA720" t="s">
        <v>2314</v>
      </c>
      <c r="CB720" t="s">
        <v>302</v>
      </c>
      <c r="CC720">
        <v>170</v>
      </c>
      <c r="CD720">
        <v>0.52300000000000002</v>
      </c>
      <c r="CE720">
        <v>62.46</v>
      </c>
      <c r="CF720">
        <v>5491</v>
      </c>
      <c r="CG720">
        <v>3000</v>
      </c>
      <c r="CH720">
        <v>83</v>
      </c>
      <c r="CI720">
        <v>1363</v>
      </c>
      <c r="CJ720">
        <v>537</v>
      </c>
      <c r="CK720">
        <v>30000</v>
      </c>
      <c r="CL720" t="s">
        <v>291</v>
      </c>
      <c r="CM720" t="s">
        <v>98</v>
      </c>
      <c r="CO720" s="1">
        <v>42796</v>
      </c>
      <c r="CP720" s="1">
        <v>43595</v>
      </c>
    </row>
    <row r="721" spans="1:94" x14ac:dyDescent="0.25">
      <c r="A721" s="4" t="s">
        <v>2321</v>
      </c>
      <c r="B721" t="str">
        <f xml:space="preserve"> "" &amp; 706411040023</f>
        <v>706411040023</v>
      </c>
      <c r="C721" t="s">
        <v>2178</v>
      </c>
      <c r="D721" t="s">
        <v>2322</v>
      </c>
      <c r="E721" t="s">
        <v>2323</v>
      </c>
      <c r="F721" t="s">
        <v>2113</v>
      </c>
      <c r="G721">
        <v>1</v>
      </c>
      <c r="H721">
        <v>1</v>
      </c>
      <c r="I721" t="s">
        <v>97</v>
      </c>
      <c r="J721" s="32">
        <v>159.94999999999999</v>
      </c>
      <c r="K721" s="32">
        <v>479.85</v>
      </c>
      <c r="L721">
        <v>0</v>
      </c>
      <c r="N721">
        <v>0</v>
      </c>
      <c r="Q721" t="s">
        <v>291</v>
      </c>
      <c r="R721" s="32">
        <v>319.95</v>
      </c>
      <c r="S721">
        <v>15.75</v>
      </c>
      <c r="T721">
        <v>52</v>
      </c>
      <c r="U721">
        <v>52</v>
      </c>
      <c r="W721">
        <v>16.93</v>
      </c>
      <c r="X721">
        <v>1</v>
      </c>
      <c r="Y721">
        <v>10.25</v>
      </c>
      <c r="Z721">
        <v>24</v>
      </c>
      <c r="AA721">
        <v>11.88</v>
      </c>
      <c r="AB721">
        <v>1.6910000000000001</v>
      </c>
      <c r="AC721">
        <v>19.47</v>
      </c>
      <c r="AE721">
        <v>1</v>
      </c>
      <c r="AF721" t="s">
        <v>2324</v>
      </c>
      <c r="AG721">
        <v>100</v>
      </c>
      <c r="AK721" t="s">
        <v>291</v>
      </c>
      <c r="AM721" t="s">
        <v>98</v>
      </c>
      <c r="AN721" t="s">
        <v>98</v>
      </c>
      <c r="AO721" t="s">
        <v>291</v>
      </c>
      <c r="AP721" t="s">
        <v>99</v>
      </c>
      <c r="AQ721" t="s">
        <v>102</v>
      </c>
      <c r="AV721" t="s">
        <v>98</v>
      </c>
      <c r="AX721" t="s">
        <v>311</v>
      </c>
      <c r="AZ721" t="s">
        <v>2180</v>
      </c>
      <c r="BB721" t="s">
        <v>54</v>
      </c>
      <c r="BC721" t="s">
        <v>2181</v>
      </c>
      <c r="BF721" t="s">
        <v>2325</v>
      </c>
      <c r="BG721" t="s">
        <v>98</v>
      </c>
      <c r="BH721" t="s">
        <v>98</v>
      </c>
      <c r="BI721" t="s">
        <v>98</v>
      </c>
      <c r="BK721" t="s">
        <v>138</v>
      </c>
      <c r="BU721">
        <v>6</v>
      </c>
      <c r="BW721">
        <v>0.75</v>
      </c>
      <c r="BX721" t="s">
        <v>2326</v>
      </c>
      <c r="BY721" t="s">
        <v>291</v>
      </c>
      <c r="BZ721" t="s">
        <v>441</v>
      </c>
      <c r="CA721" t="s">
        <v>2327</v>
      </c>
      <c r="CB721" t="s">
        <v>311</v>
      </c>
      <c r="CC721">
        <v>184</v>
      </c>
      <c r="CD721">
        <v>0.53500000000000003</v>
      </c>
      <c r="CE721">
        <v>63.62</v>
      </c>
      <c r="CF721">
        <v>4237</v>
      </c>
      <c r="CL721" t="s">
        <v>291</v>
      </c>
      <c r="CM721" t="s">
        <v>291</v>
      </c>
      <c r="CN721" t="s">
        <v>2328</v>
      </c>
      <c r="CO721" s="1">
        <v>40488</v>
      </c>
      <c r="CP721" s="1">
        <v>43595</v>
      </c>
    </row>
    <row r="722" spans="1:94" x14ac:dyDescent="0.25">
      <c r="A722" s="4" t="s">
        <v>2329</v>
      </c>
      <c r="B722" t="str">
        <f xml:space="preserve"> "" &amp; 706411045578</f>
        <v>706411045578</v>
      </c>
      <c r="C722" t="s">
        <v>2178</v>
      </c>
      <c r="D722" t="s">
        <v>2322</v>
      </c>
      <c r="E722" t="s">
        <v>2323</v>
      </c>
      <c r="F722" t="s">
        <v>2113</v>
      </c>
      <c r="G722">
        <v>1</v>
      </c>
      <c r="H722">
        <v>1</v>
      </c>
      <c r="I722" t="s">
        <v>97</v>
      </c>
      <c r="J722" s="32">
        <v>159.94999999999999</v>
      </c>
      <c r="K722" s="32">
        <v>479.85</v>
      </c>
      <c r="L722">
        <v>0</v>
      </c>
      <c r="N722">
        <v>0</v>
      </c>
      <c r="Q722" t="s">
        <v>291</v>
      </c>
      <c r="R722" s="32">
        <v>319.95</v>
      </c>
      <c r="S722">
        <v>15.75</v>
      </c>
      <c r="T722">
        <v>52</v>
      </c>
      <c r="U722">
        <v>52</v>
      </c>
      <c r="W722">
        <v>16.93</v>
      </c>
      <c r="X722">
        <v>1</v>
      </c>
      <c r="Y722">
        <v>10.25</v>
      </c>
      <c r="Z722">
        <v>24</v>
      </c>
      <c r="AA722">
        <v>11.88</v>
      </c>
      <c r="AB722">
        <v>1.6910000000000001</v>
      </c>
      <c r="AC722">
        <v>19.47</v>
      </c>
      <c r="AE722">
        <v>1</v>
      </c>
      <c r="AF722" t="s">
        <v>2330</v>
      </c>
      <c r="AG722">
        <v>100</v>
      </c>
      <c r="AK722" t="s">
        <v>291</v>
      </c>
      <c r="AM722" t="s">
        <v>98</v>
      </c>
      <c r="AN722" t="s">
        <v>98</v>
      </c>
      <c r="AO722" t="s">
        <v>291</v>
      </c>
      <c r="AP722" t="s">
        <v>99</v>
      </c>
      <c r="AQ722" t="s">
        <v>102</v>
      </c>
      <c r="AV722" t="s">
        <v>98</v>
      </c>
      <c r="AX722" t="s">
        <v>245</v>
      </c>
      <c r="AZ722" t="s">
        <v>2180</v>
      </c>
      <c r="BB722" t="s">
        <v>54</v>
      </c>
      <c r="BC722" t="s">
        <v>2181</v>
      </c>
      <c r="BF722" t="s">
        <v>2331</v>
      </c>
      <c r="BG722" t="s">
        <v>98</v>
      </c>
      <c r="BH722" t="s">
        <v>98</v>
      </c>
      <c r="BI722" t="s">
        <v>98</v>
      </c>
      <c r="BK722" t="s">
        <v>138</v>
      </c>
      <c r="BU722">
        <v>6</v>
      </c>
      <c r="BW722">
        <v>0.75</v>
      </c>
      <c r="BX722" t="s">
        <v>2326</v>
      </c>
      <c r="BY722" t="s">
        <v>291</v>
      </c>
      <c r="BZ722" t="s">
        <v>2332</v>
      </c>
      <c r="CA722" t="s">
        <v>2327</v>
      </c>
      <c r="CB722" t="s">
        <v>245</v>
      </c>
      <c r="CC722">
        <v>184</v>
      </c>
      <c r="CD722">
        <v>0.53500000000000003</v>
      </c>
      <c r="CE722">
        <v>63.62</v>
      </c>
      <c r="CF722">
        <v>4237.32</v>
      </c>
      <c r="CL722" t="s">
        <v>291</v>
      </c>
      <c r="CM722" t="s">
        <v>291</v>
      </c>
      <c r="CN722" t="s">
        <v>2272</v>
      </c>
      <c r="CO722" s="1">
        <v>41594</v>
      </c>
      <c r="CP722" s="1">
        <v>43595</v>
      </c>
    </row>
    <row r="723" spans="1:94" x14ac:dyDescent="0.25">
      <c r="A723" s="4" t="s">
        <v>2333</v>
      </c>
      <c r="B723" t="str">
        <f xml:space="preserve"> "" &amp; 706411040030</f>
        <v>706411040030</v>
      </c>
      <c r="C723" t="s">
        <v>2178</v>
      </c>
      <c r="D723" t="s">
        <v>2322</v>
      </c>
      <c r="E723" t="s">
        <v>2323</v>
      </c>
      <c r="F723" t="s">
        <v>2113</v>
      </c>
      <c r="G723">
        <v>1</v>
      </c>
      <c r="H723">
        <v>1</v>
      </c>
      <c r="I723" t="s">
        <v>97</v>
      </c>
      <c r="J723" s="32">
        <v>159.94999999999999</v>
      </c>
      <c r="K723" s="32">
        <v>479.85</v>
      </c>
      <c r="L723">
        <v>0</v>
      </c>
      <c r="N723">
        <v>0</v>
      </c>
      <c r="Q723" t="s">
        <v>291</v>
      </c>
      <c r="R723" s="32">
        <v>319.95</v>
      </c>
      <c r="S723">
        <v>15.75</v>
      </c>
      <c r="T723">
        <v>52</v>
      </c>
      <c r="U723">
        <v>52</v>
      </c>
      <c r="W723">
        <v>16.93</v>
      </c>
      <c r="X723">
        <v>1</v>
      </c>
      <c r="Y723">
        <v>10.25</v>
      </c>
      <c r="Z723">
        <v>24</v>
      </c>
      <c r="AA723">
        <v>11.88</v>
      </c>
      <c r="AB723">
        <v>1.6910000000000001</v>
      </c>
      <c r="AC723">
        <v>19.47</v>
      </c>
      <c r="AE723">
        <v>1</v>
      </c>
      <c r="AF723" t="s">
        <v>2330</v>
      </c>
      <c r="AG723">
        <v>100</v>
      </c>
      <c r="AK723" t="s">
        <v>291</v>
      </c>
      <c r="AM723" t="s">
        <v>98</v>
      </c>
      <c r="AN723" t="s">
        <v>98</v>
      </c>
      <c r="AO723" t="s">
        <v>291</v>
      </c>
      <c r="AP723" t="s">
        <v>99</v>
      </c>
      <c r="AQ723" t="s">
        <v>102</v>
      </c>
      <c r="AV723" t="s">
        <v>98</v>
      </c>
      <c r="AX723" t="s">
        <v>306</v>
      </c>
      <c r="AZ723" t="s">
        <v>2180</v>
      </c>
      <c r="BB723" t="s">
        <v>106</v>
      </c>
      <c r="BC723" t="s">
        <v>2181</v>
      </c>
      <c r="BF723" t="s">
        <v>2334</v>
      </c>
      <c r="BG723" t="s">
        <v>98</v>
      </c>
      <c r="BH723" t="s">
        <v>98</v>
      </c>
      <c r="BI723" t="s">
        <v>98</v>
      </c>
      <c r="BK723" t="s">
        <v>138</v>
      </c>
      <c r="BU723">
        <v>6</v>
      </c>
      <c r="BW723">
        <v>0.75</v>
      </c>
      <c r="BX723" t="s">
        <v>2326</v>
      </c>
      <c r="BY723" t="s">
        <v>291</v>
      </c>
      <c r="BZ723" t="s">
        <v>306</v>
      </c>
      <c r="CA723" t="s">
        <v>2327</v>
      </c>
      <c r="CB723" t="s">
        <v>306</v>
      </c>
      <c r="CC723">
        <v>184</v>
      </c>
      <c r="CD723">
        <v>0.53500000000000003</v>
      </c>
      <c r="CE723">
        <v>63.62</v>
      </c>
      <c r="CF723">
        <v>4237.32</v>
      </c>
      <c r="CL723" t="s">
        <v>291</v>
      </c>
      <c r="CM723" t="s">
        <v>291</v>
      </c>
      <c r="CN723" t="s">
        <v>2228</v>
      </c>
      <c r="CO723" s="1">
        <v>40488</v>
      </c>
      <c r="CP723" s="1">
        <v>43595</v>
      </c>
    </row>
    <row r="724" spans="1:94" x14ac:dyDescent="0.25">
      <c r="A724" s="4" t="s">
        <v>2335</v>
      </c>
      <c r="B724" t="str">
        <f xml:space="preserve"> "" &amp; 706411044007</f>
        <v>706411044007</v>
      </c>
      <c r="C724" t="s">
        <v>2178</v>
      </c>
      <c r="D724" t="s">
        <v>2336</v>
      </c>
      <c r="E724" t="s">
        <v>2337</v>
      </c>
      <c r="F724" t="s">
        <v>2113</v>
      </c>
      <c r="G724">
        <v>1</v>
      </c>
      <c r="H724">
        <v>1</v>
      </c>
      <c r="I724" t="s">
        <v>97</v>
      </c>
      <c r="J724" s="32">
        <v>79.95</v>
      </c>
      <c r="K724" s="32">
        <v>239.85</v>
      </c>
      <c r="L724">
        <v>0</v>
      </c>
      <c r="N724">
        <v>0</v>
      </c>
      <c r="Q724" t="s">
        <v>291</v>
      </c>
      <c r="R724" s="32">
        <v>149.94999999999999</v>
      </c>
      <c r="S724">
        <v>11.75</v>
      </c>
      <c r="T724">
        <v>52</v>
      </c>
      <c r="U724">
        <v>52</v>
      </c>
      <c r="W724">
        <v>17.48</v>
      </c>
      <c r="X724">
        <v>1</v>
      </c>
      <c r="Y724">
        <v>11</v>
      </c>
      <c r="Z724">
        <v>23</v>
      </c>
      <c r="AA724">
        <v>13.38</v>
      </c>
      <c r="AB724">
        <v>1.9590000000000001</v>
      </c>
      <c r="AC724">
        <v>20.61</v>
      </c>
      <c r="AE724">
        <v>3</v>
      </c>
      <c r="AF724" t="s">
        <v>2338</v>
      </c>
      <c r="AG724">
        <v>60</v>
      </c>
      <c r="AK724" t="s">
        <v>291</v>
      </c>
      <c r="AM724" t="s">
        <v>98</v>
      </c>
      <c r="AN724" t="s">
        <v>291</v>
      </c>
      <c r="AO724" t="s">
        <v>98</v>
      </c>
      <c r="AP724" t="s">
        <v>99</v>
      </c>
      <c r="AQ724" t="s">
        <v>102</v>
      </c>
      <c r="AV724" t="s">
        <v>98</v>
      </c>
      <c r="AX724" t="s">
        <v>150</v>
      </c>
      <c r="AZ724" t="s">
        <v>2118</v>
      </c>
      <c r="BB724" t="s">
        <v>106</v>
      </c>
      <c r="BC724" t="s">
        <v>2339</v>
      </c>
      <c r="BF724" t="s">
        <v>2340</v>
      </c>
      <c r="BG724" t="s">
        <v>98</v>
      </c>
      <c r="BH724" t="s">
        <v>98</v>
      </c>
      <c r="BI724" t="s">
        <v>98</v>
      </c>
      <c r="BK724" t="s">
        <v>138</v>
      </c>
      <c r="BU724">
        <v>6</v>
      </c>
      <c r="BW724">
        <v>0.75</v>
      </c>
      <c r="BX724">
        <v>12</v>
      </c>
      <c r="BY724" t="s">
        <v>291</v>
      </c>
      <c r="BZ724" t="s">
        <v>2143</v>
      </c>
      <c r="CA724" t="s">
        <v>2341</v>
      </c>
      <c r="CB724" t="s">
        <v>150</v>
      </c>
      <c r="CC724">
        <v>180</v>
      </c>
      <c r="CD724">
        <v>0.55000000000000004</v>
      </c>
      <c r="CE724">
        <v>65.7</v>
      </c>
      <c r="CF724">
        <v>5295</v>
      </c>
      <c r="CL724" t="s">
        <v>291</v>
      </c>
      <c r="CM724" t="s">
        <v>98</v>
      </c>
      <c r="CN724" t="s">
        <v>2272</v>
      </c>
      <c r="CO724" s="1">
        <v>41269</v>
      </c>
      <c r="CP724" s="1">
        <v>43595</v>
      </c>
    </row>
    <row r="725" spans="1:94" x14ac:dyDescent="0.25">
      <c r="A725" s="4" t="s">
        <v>2342</v>
      </c>
      <c r="B725" t="str">
        <f xml:space="preserve"> "" &amp; 706411045660</f>
        <v>706411045660</v>
      </c>
      <c r="C725" t="s">
        <v>2178</v>
      </c>
      <c r="D725" t="s">
        <v>2336</v>
      </c>
      <c r="E725" t="s">
        <v>2337</v>
      </c>
      <c r="F725" t="s">
        <v>2113</v>
      </c>
      <c r="G725">
        <v>1</v>
      </c>
      <c r="H725">
        <v>1</v>
      </c>
      <c r="I725" t="s">
        <v>97</v>
      </c>
      <c r="J725" s="32">
        <v>79.95</v>
      </c>
      <c r="K725" s="32">
        <v>239.85</v>
      </c>
      <c r="L725">
        <v>0</v>
      </c>
      <c r="N725">
        <v>0</v>
      </c>
      <c r="Q725" t="s">
        <v>291</v>
      </c>
      <c r="R725" s="32">
        <v>149.94999999999999</v>
      </c>
      <c r="S725">
        <v>11.75</v>
      </c>
      <c r="T725">
        <v>52</v>
      </c>
      <c r="U725">
        <v>52</v>
      </c>
      <c r="W725">
        <v>17.48</v>
      </c>
      <c r="X725">
        <v>1</v>
      </c>
      <c r="Y725">
        <v>11</v>
      </c>
      <c r="Z725">
        <v>23</v>
      </c>
      <c r="AA725">
        <v>13.38</v>
      </c>
      <c r="AB725">
        <v>1.9590000000000001</v>
      </c>
      <c r="AC725">
        <v>20.61</v>
      </c>
      <c r="AE725">
        <v>3</v>
      </c>
      <c r="AF725" t="s">
        <v>2343</v>
      </c>
      <c r="AG725">
        <v>60</v>
      </c>
      <c r="AK725" t="s">
        <v>291</v>
      </c>
      <c r="AM725" t="s">
        <v>98</v>
      </c>
      <c r="AN725" t="s">
        <v>98</v>
      </c>
      <c r="AO725" t="s">
        <v>98</v>
      </c>
      <c r="AP725" t="s">
        <v>99</v>
      </c>
      <c r="AQ725" t="s">
        <v>102</v>
      </c>
      <c r="AV725" t="s">
        <v>98</v>
      </c>
      <c r="AX725" t="s">
        <v>167</v>
      </c>
      <c r="AZ725" t="s">
        <v>2118</v>
      </c>
      <c r="BB725" t="s">
        <v>54</v>
      </c>
      <c r="BC725" t="s">
        <v>2344</v>
      </c>
      <c r="BF725" t="s">
        <v>2345</v>
      </c>
      <c r="BG725" t="s">
        <v>98</v>
      </c>
      <c r="BH725" t="s">
        <v>98</v>
      </c>
      <c r="BI725" t="s">
        <v>98</v>
      </c>
      <c r="BK725" t="s">
        <v>138</v>
      </c>
      <c r="BU725">
        <v>6</v>
      </c>
      <c r="BW725">
        <v>0.75</v>
      </c>
      <c r="BX725">
        <v>12</v>
      </c>
      <c r="BY725" t="s">
        <v>291</v>
      </c>
      <c r="BZ725" t="s">
        <v>2346</v>
      </c>
      <c r="CA725" t="s">
        <v>2341</v>
      </c>
      <c r="CB725" t="s">
        <v>167</v>
      </c>
      <c r="CC725">
        <v>180</v>
      </c>
      <c r="CD725">
        <v>0.55000000000000004</v>
      </c>
      <c r="CE725">
        <v>65.7</v>
      </c>
      <c r="CF725">
        <v>5295</v>
      </c>
      <c r="CL725" t="s">
        <v>291</v>
      </c>
      <c r="CM725" t="s">
        <v>98</v>
      </c>
      <c r="CO725" s="1">
        <v>41716</v>
      </c>
      <c r="CP725" s="1">
        <v>43595</v>
      </c>
    </row>
    <row r="726" spans="1:94" x14ac:dyDescent="0.25">
      <c r="A726" s="4" t="s">
        <v>2347</v>
      </c>
      <c r="B726" t="str">
        <f xml:space="preserve"> "" &amp; 706411044014</f>
        <v>706411044014</v>
      </c>
      <c r="C726" t="s">
        <v>2178</v>
      </c>
      <c r="D726" t="s">
        <v>2336</v>
      </c>
      <c r="E726" t="s">
        <v>2337</v>
      </c>
      <c r="F726" t="s">
        <v>2113</v>
      </c>
      <c r="G726">
        <v>1</v>
      </c>
      <c r="H726">
        <v>1</v>
      </c>
      <c r="I726" t="s">
        <v>97</v>
      </c>
      <c r="J726" s="32">
        <v>79.95</v>
      </c>
      <c r="K726" s="32">
        <v>239.85</v>
      </c>
      <c r="L726">
        <v>0</v>
      </c>
      <c r="N726">
        <v>0</v>
      </c>
      <c r="Q726" t="s">
        <v>291</v>
      </c>
      <c r="R726" s="32">
        <v>149.94999999999999</v>
      </c>
      <c r="S726">
        <v>11.75</v>
      </c>
      <c r="T726">
        <v>52</v>
      </c>
      <c r="U726">
        <v>52</v>
      </c>
      <c r="W726">
        <v>17.48</v>
      </c>
      <c r="X726">
        <v>1</v>
      </c>
      <c r="Y726">
        <v>11</v>
      </c>
      <c r="Z726">
        <v>23</v>
      </c>
      <c r="AA726">
        <v>13.38</v>
      </c>
      <c r="AB726">
        <v>1.9590000000000001</v>
      </c>
      <c r="AC726">
        <v>20.61</v>
      </c>
      <c r="AE726">
        <v>3</v>
      </c>
      <c r="AF726" t="s">
        <v>2338</v>
      </c>
      <c r="AG726">
        <v>60</v>
      </c>
      <c r="AK726" t="s">
        <v>291</v>
      </c>
      <c r="AM726" t="s">
        <v>98</v>
      </c>
      <c r="AN726" t="s">
        <v>291</v>
      </c>
      <c r="AO726" t="s">
        <v>98</v>
      </c>
      <c r="AP726" t="s">
        <v>99</v>
      </c>
      <c r="AQ726" t="s">
        <v>102</v>
      </c>
      <c r="AV726" t="s">
        <v>98</v>
      </c>
      <c r="AX726" t="s">
        <v>245</v>
      </c>
      <c r="AZ726" t="s">
        <v>2118</v>
      </c>
      <c r="BB726" t="s">
        <v>106</v>
      </c>
      <c r="BC726" t="s">
        <v>2339</v>
      </c>
      <c r="BF726" t="s">
        <v>2348</v>
      </c>
      <c r="BG726" t="s">
        <v>98</v>
      </c>
      <c r="BH726" t="s">
        <v>98</v>
      </c>
      <c r="BI726" t="s">
        <v>98</v>
      </c>
      <c r="BK726" t="s">
        <v>138</v>
      </c>
      <c r="BU726">
        <v>6</v>
      </c>
      <c r="BW726">
        <v>0.75</v>
      </c>
      <c r="BX726">
        <v>12</v>
      </c>
      <c r="BY726" t="s">
        <v>291</v>
      </c>
      <c r="BZ726" t="s">
        <v>2143</v>
      </c>
      <c r="CA726" t="s">
        <v>2341</v>
      </c>
      <c r="CB726" t="s">
        <v>245</v>
      </c>
      <c r="CC726">
        <v>180</v>
      </c>
      <c r="CD726">
        <v>0.55000000000000004</v>
      </c>
      <c r="CE726">
        <v>65.7</v>
      </c>
      <c r="CF726">
        <v>5295</v>
      </c>
      <c r="CL726" t="s">
        <v>291</v>
      </c>
      <c r="CM726" t="s">
        <v>98</v>
      </c>
      <c r="CO726" s="1">
        <v>41269</v>
      </c>
      <c r="CP726" s="1">
        <v>43595</v>
      </c>
    </row>
    <row r="727" spans="1:94" x14ac:dyDescent="0.25">
      <c r="A727" s="4" t="s">
        <v>2349</v>
      </c>
      <c r="B727" t="str">
        <f xml:space="preserve"> "" &amp; 706411044021</f>
        <v>706411044021</v>
      </c>
      <c r="C727" t="s">
        <v>2178</v>
      </c>
      <c r="D727" t="s">
        <v>2336</v>
      </c>
      <c r="E727" t="s">
        <v>2337</v>
      </c>
      <c r="F727" t="s">
        <v>2113</v>
      </c>
      <c r="G727">
        <v>1</v>
      </c>
      <c r="H727">
        <v>1</v>
      </c>
      <c r="I727" t="s">
        <v>97</v>
      </c>
      <c r="J727" s="32">
        <v>79.95</v>
      </c>
      <c r="K727" s="32">
        <v>239.85</v>
      </c>
      <c r="L727">
        <v>0</v>
      </c>
      <c r="N727">
        <v>0</v>
      </c>
      <c r="Q727" t="s">
        <v>291</v>
      </c>
      <c r="R727" s="32">
        <v>149.94999999999999</v>
      </c>
      <c r="S727">
        <v>11.75</v>
      </c>
      <c r="T727">
        <v>52</v>
      </c>
      <c r="U727">
        <v>52</v>
      </c>
      <c r="W727">
        <v>17.48</v>
      </c>
      <c r="X727">
        <v>1</v>
      </c>
      <c r="Y727">
        <v>11</v>
      </c>
      <c r="Z727">
        <v>23</v>
      </c>
      <c r="AA727">
        <v>13.38</v>
      </c>
      <c r="AB727">
        <v>1.9590000000000001</v>
      </c>
      <c r="AC727">
        <v>20.61</v>
      </c>
      <c r="AE727">
        <v>3</v>
      </c>
      <c r="AF727" t="s">
        <v>2350</v>
      </c>
      <c r="AG727">
        <v>60</v>
      </c>
      <c r="AK727" t="s">
        <v>291</v>
      </c>
      <c r="AM727" t="s">
        <v>98</v>
      </c>
      <c r="AN727" t="s">
        <v>291</v>
      </c>
      <c r="AO727" t="s">
        <v>98</v>
      </c>
      <c r="AP727" t="s">
        <v>99</v>
      </c>
      <c r="AQ727" t="s">
        <v>102</v>
      </c>
      <c r="AV727" t="s">
        <v>98</v>
      </c>
      <c r="AX727" t="s">
        <v>245</v>
      </c>
      <c r="AZ727" t="s">
        <v>2118</v>
      </c>
      <c r="BB727" t="s">
        <v>106</v>
      </c>
      <c r="BC727" t="s">
        <v>2351</v>
      </c>
      <c r="BF727" t="s">
        <v>2352</v>
      </c>
      <c r="BG727" t="s">
        <v>98</v>
      </c>
      <c r="BH727" t="s">
        <v>98</v>
      </c>
      <c r="BI727" t="s">
        <v>98</v>
      </c>
      <c r="BK727" t="s">
        <v>138</v>
      </c>
      <c r="BU727">
        <v>6</v>
      </c>
      <c r="BW727">
        <v>0.75</v>
      </c>
      <c r="BX727">
        <v>12</v>
      </c>
      <c r="BY727" t="s">
        <v>291</v>
      </c>
      <c r="BZ727" t="s">
        <v>2353</v>
      </c>
      <c r="CA727" t="s">
        <v>2341</v>
      </c>
      <c r="CB727" t="s">
        <v>245</v>
      </c>
      <c r="CC727">
        <v>180</v>
      </c>
      <c r="CD727">
        <v>0.55000000000000004</v>
      </c>
      <c r="CE727">
        <v>65.7</v>
      </c>
      <c r="CF727">
        <v>5295</v>
      </c>
      <c r="CL727" t="s">
        <v>291</v>
      </c>
      <c r="CM727" t="s">
        <v>98</v>
      </c>
      <c r="CO727" s="1">
        <v>41269</v>
      </c>
      <c r="CP727" s="1">
        <v>43595</v>
      </c>
    </row>
    <row r="728" spans="1:94" x14ac:dyDescent="0.25">
      <c r="A728" s="4" t="s">
        <v>2354</v>
      </c>
      <c r="B728" t="str">
        <f xml:space="preserve"> "" &amp; 706411044038</f>
        <v>706411044038</v>
      </c>
      <c r="C728" t="s">
        <v>2178</v>
      </c>
      <c r="D728" t="s">
        <v>2336</v>
      </c>
      <c r="E728" t="s">
        <v>2337</v>
      </c>
      <c r="F728" t="s">
        <v>2113</v>
      </c>
      <c r="G728">
        <v>1</v>
      </c>
      <c r="H728">
        <v>1</v>
      </c>
      <c r="I728" t="s">
        <v>97</v>
      </c>
      <c r="J728" s="32">
        <v>79.95</v>
      </c>
      <c r="K728" s="32">
        <v>239.85</v>
      </c>
      <c r="L728">
        <v>0</v>
      </c>
      <c r="N728">
        <v>0</v>
      </c>
      <c r="Q728" t="s">
        <v>291</v>
      </c>
      <c r="R728" s="32">
        <v>149.94999999999999</v>
      </c>
      <c r="S728">
        <v>11.75</v>
      </c>
      <c r="T728">
        <v>52</v>
      </c>
      <c r="U728">
        <v>52</v>
      </c>
      <c r="W728">
        <v>17.48</v>
      </c>
      <c r="X728">
        <v>1</v>
      </c>
      <c r="Y728">
        <v>11</v>
      </c>
      <c r="Z728">
        <v>23</v>
      </c>
      <c r="AA728">
        <v>13.38</v>
      </c>
      <c r="AB728">
        <v>1.9590000000000001</v>
      </c>
      <c r="AC728">
        <v>20.61</v>
      </c>
      <c r="AE728">
        <v>3</v>
      </c>
      <c r="AF728" t="s">
        <v>2350</v>
      </c>
      <c r="AG728">
        <v>60</v>
      </c>
      <c r="AK728" t="s">
        <v>291</v>
      </c>
      <c r="AM728" t="s">
        <v>98</v>
      </c>
      <c r="AN728" t="s">
        <v>291</v>
      </c>
      <c r="AO728" t="s">
        <v>98</v>
      </c>
      <c r="AP728" t="s">
        <v>99</v>
      </c>
      <c r="AQ728" t="s">
        <v>102</v>
      </c>
      <c r="AV728" t="s">
        <v>98</v>
      </c>
      <c r="AX728" t="s">
        <v>302</v>
      </c>
      <c r="AZ728" t="s">
        <v>2118</v>
      </c>
      <c r="BB728" t="s">
        <v>106</v>
      </c>
      <c r="BC728" t="s">
        <v>2355</v>
      </c>
      <c r="BF728" t="s">
        <v>2356</v>
      </c>
      <c r="BG728" t="s">
        <v>98</v>
      </c>
      <c r="BH728" t="s">
        <v>98</v>
      </c>
      <c r="BI728" t="s">
        <v>98</v>
      </c>
      <c r="BK728" t="s">
        <v>138</v>
      </c>
      <c r="BU728">
        <v>6</v>
      </c>
      <c r="BW728">
        <v>0.75</v>
      </c>
      <c r="BX728">
        <v>12</v>
      </c>
      <c r="BY728" t="s">
        <v>291</v>
      </c>
      <c r="BZ728" t="s">
        <v>302</v>
      </c>
      <c r="CA728" t="s">
        <v>2341</v>
      </c>
      <c r="CB728" t="s">
        <v>302</v>
      </c>
      <c r="CC728">
        <v>180</v>
      </c>
      <c r="CD728">
        <v>0.55000000000000004</v>
      </c>
      <c r="CE728">
        <v>65.7</v>
      </c>
      <c r="CF728">
        <v>5295</v>
      </c>
      <c r="CL728" t="s">
        <v>291</v>
      </c>
      <c r="CM728" t="s">
        <v>98</v>
      </c>
      <c r="CO728" s="1">
        <v>41269</v>
      </c>
      <c r="CP728" s="1">
        <v>43595</v>
      </c>
    </row>
    <row r="729" spans="1:94" x14ac:dyDescent="0.25">
      <c r="A729" s="4" t="s">
        <v>2357</v>
      </c>
      <c r="B729" t="str">
        <f xml:space="preserve"> "" &amp; 706411045547</f>
        <v>706411045547</v>
      </c>
      <c r="C729" t="s">
        <v>2178</v>
      </c>
      <c r="D729" t="s">
        <v>2358</v>
      </c>
      <c r="E729" t="s">
        <v>2359</v>
      </c>
      <c r="F729" t="s">
        <v>2113</v>
      </c>
      <c r="G729">
        <v>1</v>
      </c>
      <c r="H729">
        <v>1</v>
      </c>
      <c r="I729" t="s">
        <v>97</v>
      </c>
      <c r="J729" s="32">
        <v>179.95</v>
      </c>
      <c r="K729" s="32">
        <v>539.85</v>
      </c>
      <c r="L729">
        <v>0</v>
      </c>
      <c r="N729">
        <v>0</v>
      </c>
      <c r="Q729" t="s">
        <v>291</v>
      </c>
      <c r="R729" s="32">
        <v>359.95</v>
      </c>
      <c r="S729">
        <v>14</v>
      </c>
      <c r="T729">
        <v>52</v>
      </c>
      <c r="U729">
        <v>52</v>
      </c>
      <c r="W729">
        <v>19.18</v>
      </c>
      <c r="X729">
        <v>1</v>
      </c>
      <c r="Y729">
        <v>10.25</v>
      </c>
      <c r="Z729">
        <v>24</v>
      </c>
      <c r="AA729">
        <v>11.88</v>
      </c>
      <c r="AB729">
        <v>1.6910000000000001</v>
      </c>
      <c r="AC729">
        <v>22.07</v>
      </c>
      <c r="AE729">
        <v>1</v>
      </c>
      <c r="AF729" t="s">
        <v>2360</v>
      </c>
      <c r="AG729">
        <v>100</v>
      </c>
      <c r="AK729" t="s">
        <v>291</v>
      </c>
      <c r="AM729" t="s">
        <v>98</v>
      </c>
      <c r="AN729" t="s">
        <v>98</v>
      </c>
      <c r="AO729" t="s">
        <v>291</v>
      </c>
      <c r="AP729" t="s">
        <v>99</v>
      </c>
      <c r="AQ729" t="s">
        <v>102</v>
      </c>
      <c r="AV729" t="s">
        <v>98</v>
      </c>
      <c r="AX729" t="s">
        <v>311</v>
      </c>
      <c r="AZ729" t="s">
        <v>2180</v>
      </c>
      <c r="BB729" t="s">
        <v>54</v>
      </c>
      <c r="BC729" t="s">
        <v>2361</v>
      </c>
      <c r="BF729" t="s">
        <v>2362</v>
      </c>
      <c r="BG729" t="s">
        <v>98</v>
      </c>
      <c r="BH729" t="s">
        <v>98</v>
      </c>
      <c r="BI729" t="s">
        <v>98</v>
      </c>
      <c r="BJ729" t="s">
        <v>291</v>
      </c>
      <c r="BK729" t="s">
        <v>292</v>
      </c>
      <c r="BU729">
        <v>6</v>
      </c>
      <c r="BW729">
        <v>0.75</v>
      </c>
      <c r="BX729">
        <v>12</v>
      </c>
      <c r="BY729" t="s">
        <v>291</v>
      </c>
      <c r="BZ729" t="s">
        <v>2363</v>
      </c>
      <c r="CA729" t="s">
        <v>2364</v>
      </c>
      <c r="CB729" t="s">
        <v>311</v>
      </c>
      <c r="CC729">
        <v>163</v>
      </c>
      <c r="CD729">
        <v>0.47</v>
      </c>
      <c r="CE729">
        <v>51.5</v>
      </c>
      <c r="CF729">
        <v>4834.74</v>
      </c>
      <c r="CL729" t="s">
        <v>291</v>
      </c>
      <c r="CM729" t="s">
        <v>291</v>
      </c>
      <c r="CN729" t="s">
        <v>2365</v>
      </c>
      <c r="CO729" s="1">
        <v>41718</v>
      </c>
      <c r="CP729" s="1">
        <v>43595</v>
      </c>
    </row>
    <row r="730" spans="1:94" x14ac:dyDescent="0.25">
      <c r="A730" s="4" t="s">
        <v>2366</v>
      </c>
      <c r="B730" t="str">
        <f xml:space="preserve"> "" &amp; 706411045561</f>
        <v>706411045561</v>
      </c>
      <c r="C730" t="s">
        <v>2178</v>
      </c>
      <c r="D730" t="s">
        <v>2358</v>
      </c>
      <c r="E730" t="s">
        <v>2359</v>
      </c>
      <c r="F730" t="s">
        <v>2113</v>
      </c>
      <c r="G730">
        <v>1</v>
      </c>
      <c r="H730">
        <v>1</v>
      </c>
      <c r="I730" t="s">
        <v>97</v>
      </c>
      <c r="J730" s="32">
        <v>179.95</v>
      </c>
      <c r="K730" s="32">
        <v>539.85</v>
      </c>
      <c r="L730">
        <v>0</v>
      </c>
      <c r="N730">
        <v>0</v>
      </c>
      <c r="Q730" t="s">
        <v>291</v>
      </c>
      <c r="R730" s="32">
        <v>359.95</v>
      </c>
      <c r="S730">
        <v>14</v>
      </c>
      <c r="T730">
        <v>52</v>
      </c>
      <c r="U730">
        <v>52</v>
      </c>
      <c r="W730">
        <v>19.18</v>
      </c>
      <c r="X730">
        <v>1</v>
      </c>
      <c r="Y730">
        <v>10.25</v>
      </c>
      <c r="Z730">
        <v>24</v>
      </c>
      <c r="AA730">
        <v>11.88</v>
      </c>
      <c r="AB730">
        <v>1.6910000000000001</v>
      </c>
      <c r="AC730">
        <v>22.07</v>
      </c>
      <c r="AE730">
        <v>1</v>
      </c>
      <c r="AF730" t="s">
        <v>2367</v>
      </c>
      <c r="AG730">
        <v>100</v>
      </c>
      <c r="AK730" t="s">
        <v>291</v>
      </c>
      <c r="AM730" t="s">
        <v>98</v>
      </c>
      <c r="AN730" t="s">
        <v>98</v>
      </c>
      <c r="AO730" t="s">
        <v>291</v>
      </c>
      <c r="AP730" t="s">
        <v>99</v>
      </c>
      <c r="AQ730" t="s">
        <v>102</v>
      </c>
      <c r="AV730" t="s">
        <v>98</v>
      </c>
      <c r="AX730" t="s">
        <v>245</v>
      </c>
      <c r="AZ730" t="s">
        <v>2180</v>
      </c>
      <c r="BB730" t="s">
        <v>54</v>
      </c>
      <c r="BC730" t="s">
        <v>2368</v>
      </c>
      <c r="BF730" t="s">
        <v>2369</v>
      </c>
      <c r="BG730" t="s">
        <v>98</v>
      </c>
      <c r="BH730" t="s">
        <v>98</v>
      </c>
      <c r="BI730" t="s">
        <v>98</v>
      </c>
      <c r="BJ730" t="s">
        <v>291</v>
      </c>
      <c r="BK730" t="s">
        <v>292</v>
      </c>
      <c r="BU730">
        <v>6</v>
      </c>
      <c r="BW730">
        <v>0.75</v>
      </c>
      <c r="BX730">
        <v>12</v>
      </c>
      <c r="BZ730" t="s">
        <v>2332</v>
      </c>
      <c r="CA730" t="s">
        <v>2364</v>
      </c>
      <c r="CB730" t="s">
        <v>245</v>
      </c>
      <c r="CC730">
        <v>163</v>
      </c>
      <c r="CD730">
        <v>0.47</v>
      </c>
      <c r="CE730">
        <v>51.5</v>
      </c>
      <c r="CF730">
        <v>4834.74</v>
      </c>
      <c r="CL730" t="s">
        <v>291</v>
      </c>
      <c r="CM730" t="s">
        <v>98</v>
      </c>
      <c r="CN730" t="s">
        <v>2365</v>
      </c>
      <c r="CO730" s="1">
        <v>41718</v>
      </c>
      <c r="CP730" s="1">
        <v>43595</v>
      </c>
    </row>
    <row r="731" spans="1:94" x14ac:dyDescent="0.25">
      <c r="A731" s="4" t="s">
        <v>2370</v>
      </c>
      <c r="B731" t="str">
        <f xml:space="preserve"> "" &amp; 706411045554</f>
        <v>706411045554</v>
      </c>
      <c r="C731" t="s">
        <v>2178</v>
      </c>
      <c r="D731" t="s">
        <v>2358</v>
      </c>
      <c r="E731" t="s">
        <v>2359</v>
      </c>
      <c r="F731" t="s">
        <v>2113</v>
      </c>
      <c r="G731">
        <v>1</v>
      </c>
      <c r="H731">
        <v>1</v>
      </c>
      <c r="I731" t="s">
        <v>97</v>
      </c>
      <c r="J731" s="32">
        <v>179.95</v>
      </c>
      <c r="K731" s="32">
        <v>539.85</v>
      </c>
      <c r="L731">
        <v>0</v>
      </c>
      <c r="N731">
        <v>0</v>
      </c>
      <c r="Q731" t="s">
        <v>291</v>
      </c>
      <c r="R731" s="32">
        <v>359.95</v>
      </c>
      <c r="S731">
        <v>14</v>
      </c>
      <c r="T731">
        <v>52</v>
      </c>
      <c r="U731">
        <v>52</v>
      </c>
      <c r="W731">
        <v>19.18</v>
      </c>
      <c r="X731">
        <v>1</v>
      </c>
      <c r="Y731">
        <v>10.25</v>
      </c>
      <c r="Z731">
        <v>24</v>
      </c>
      <c r="AA731">
        <v>11.88</v>
      </c>
      <c r="AB731">
        <v>1.6910000000000001</v>
      </c>
      <c r="AC731">
        <v>22.07</v>
      </c>
      <c r="AE731">
        <v>1</v>
      </c>
      <c r="AF731" t="s">
        <v>2371</v>
      </c>
      <c r="AG731">
        <v>100</v>
      </c>
      <c r="AH731">
        <v>1</v>
      </c>
      <c r="AI731" t="s">
        <v>2372</v>
      </c>
      <c r="AJ731">
        <v>100</v>
      </c>
      <c r="AK731" t="s">
        <v>291</v>
      </c>
      <c r="AM731" t="s">
        <v>98</v>
      </c>
      <c r="AN731" t="s">
        <v>98</v>
      </c>
      <c r="AO731" t="s">
        <v>291</v>
      </c>
      <c r="AP731" t="s">
        <v>99</v>
      </c>
      <c r="AQ731" t="s">
        <v>102</v>
      </c>
      <c r="AV731" t="s">
        <v>98</v>
      </c>
      <c r="AX731" t="s">
        <v>306</v>
      </c>
      <c r="AZ731" t="s">
        <v>2180</v>
      </c>
      <c r="BB731" t="s">
        <v>54</v>
      </c>
      <c r="BC731" t="s">
        <v>2361</v>
      </c>
      <c r="BF731" t="s">
        <v>2373</v>
      </c>
      <c r="BG731" t="s">
        <v>98</v>
      </c>
      <c r="BH731" t="s">
        <v>98</v>
      </c>
      <c r="BI731" t="s">
        <v>98</v>
      </c>
      <c r="BJ731" t="s">
        <v>291</v>
      </c>
      <c r="BK731" t="s">
        <v>292</v>
      </c>
      <c r="BU731">
        <v>6</v>
      </c>
      <c r="BW731">
        <v>0.75</v>
      </c>
      <c r="BX731">
        <v>12</v>
      </c>
      <c r="BY731" t="s">
        <v>291</v>
      </c>
      <c r="BZ731" t="s">
        <v>2374</v>
      </c>
      <c r="CA731" t="s">
        <v>2364</v>
      </c>
      <c r="CB731" t="s">
        <v>306</v>
      </c>
      <c r="CC731">
        <v>163</v>
      </c>
      <c r="CD731">
        <v>0.47</v>
      </c>
      <c r="CE731">
        <v>51.5</v>
      </c>
      <c r="CF731">
        <v>4834.74</v>
      </c>
      <c r="CL731" t="s">
        <v>291</v>
      </c>
      <c r="CM731" t="s">
        <v>98</v>
      </c>
      <c r="CN731" t="s">
        <v>2365</v>
      </c>
      <c r="CO731" s="1">
        <v>41718</v>
      </c>
      <c r="CP731" s="1">
        <v>43595</v>
      </c>
    </row>
    <row r="732" spans="1:94" x14ac:dyDescent="0.25">
      <c r="A732" s="4" t="s">
        <v>2375</v>
      </c>
      <c r="B732" t="str">
        <f xml:space="preserve"> "" &amp; 706411045455</f>
        <v>706411045455</v>
      </c>
      <c r="C732" t="s">
        <v>2178</v>
      </c>
      <c r="D732" t="s">
        <v>2376</v>
      </c>
      <c r="E732" t="s">
        <v>2377</v>
      </c>
      <c r="F732" t="s">
        <v>2113</v>
      </c>
      <c r="G732">
        <v>1</v>
      </c>
      <c r="H732">
        <v>1</v>
      </c>
      <c r="I732" t="s">
        <v>97</v>
      </c>
      <c r="J732" s="32">
        <v>94.95</v>
      </c>
      <c r="K732" s="32">
        <v>284.85000000000002</v>
      </c>
      <c r="L732">
        <v>0</v>
      </c>
      <c r="N732">
        <v>0</v>
      </c>
      <c r="Q732" t="s">
        <v>291</v>
      </c>
      <c r="R732" s="32">
        <v>189.95</v>
      </c>
      <c r="S732">
        <v>9.25</v>
      </c>
      <c r="T732">
        <v>52</v>
      </c>
      <c r="U732">
        <v>52</v>
      </c>
      <c r="W732">
        <v>10.36</v>
      </c>
      <c r="X732">
        <v>1</v>
      </c>
      <c r="Y732">
        <v>9</v>
      </c>
      <c r="Z732">
        <v>24.75</v>
      </c>
      <c r="AA732">
        <v>9.5</v>
      </c>
      <c r="AB732">
        <v>1.2250000000000001</v>
      </c>
      <c r="AC732">
        <v>12.79</v>
      </c>
      <c r="AK732" t="s">
        <v>98</v>
      </c>
      <c r="AM732" t="s">
        <v>98</v>
      </c>
      <c r="AN732" t="s">
        <v>291</v>
      </c>
      <c r="AO732" t="s">
        <v>98</v>
      </c>
      <c r="AP732" t="s">
        <v>99</v>
      </c>
      <c r="AQ732" t="s">
        <v>102</v>
      </c>
      <c r="AV732" t="s">
        <v>98</v>
      </c>
      <c r="AX732" t="s">
        <v>311</v>
      </c>
      <c r="AZ732" t="s">
        <v>2180</v>
      </c>
      <c r="BF732" t="s">
        <v>2378</v>
      </c>
      <c r="BG732" t="s">
        <v>98</v>
      </c>
      <c r="BH732" t="s">
        <v>98</v>
      </c>
      <c r="BI732" t="s">
        <v>98</v>
      </c>
      <c r="BK732" t="s">
        <v>138</v>
      </c>
      <c r="BU732">
        <v>6</v>
      </c>
      <c r="BW732">
        <v>0.75</v>
      </c>
      <c r="BX732" t="s">
        <v>2379</v>
      </c>
      <c r="BZ732" t="s">
        <v>441</v>
      </c>
      <c r="CA732" t="s">
        <v>2380</v>
      </c>
      <c r="CB732" t="s">
        <v>311</v>
      </c>
      <c r="CC732">
        <v>212</v>
      </c>
      <c r="CD732">
        <v>0.44</v>
      </c>
      <c r="CE732">
        <v>51.3</v>
      </c>
      <c r="CF732">
        <v>5816</v>
      </c>
      <c r="CL732" t="s">
        <v>98</v>
      </c>
      <c r="CM732" t="s">
        <v>291</v>
      </c>
      <c r="CN732" t="s">
        <v>2156</v>
      </c>
      <c r="CO732" s="1">
        <v>41659</v>
      </c>
      <c r="CP732" s="1">
        <v>43595</v>
      </c>
    </row>
    <row r="733" spans="1:94" x14ac:dyDescent="0.25">
      <c r="A733" s="4" t="s">
        <v>2381</v>
      </c>
      <c r="B733" t="str">
        <f xml:space="preserve"> "" &amp; 706411060823</f>
        <v>706411060823</v>
      </c>
      <c r="C733" t="s">
        <v>2382</v>
      </c>
      <c r="D733" t="s">
        <v>2376</v>
      </c>
      <c r="E733" t="s">
        <v>2377</v>
      </c>
      <c r="F733" t="s">
        <v>2113</v>
      </c>
      <c r="G733">
        <v>1</v>
      </c>
      <c r="H733">
        <v>1</v>
      </c>
      <c r="I733" t="s">
        <v>97</v>
      </c>
      <c r="J733" s="32">
        <v>94.95</v>
      </c>
      <c r="K733" s="32">
        <v>284.85000000000002</v>
      </c>
      <c r="L733">
        <v>0</v>
      </c>
      <c r="N733">
        <v>0</v>
      </c>
      <c r="Q733" t="s">
        <v>291</v>
      </c>
      <c r="R733" s="32">
        <v>189.95</v>
      </c>
      <c r="S733">
        <v>9.25</v>
      </c>
      <c r="T733">
        <v>52</v>
      </c>
      <c r="U733">
        <v>52</v>
      </c>
      <c r="W733">
        <v>10.36</v>
      </c>
      <c r="X733">
        <v>1</v>
      </c>
      <c r="Y733">
        <v>9</v>
      </c>
      <c r="Z733">
        <v>24.75</v>
      </c>
      <c r="AA733">
        <v>9.5</v>
      </c>
      <c r="AB733">
        <v>1.2250000000000001</v>
      </c>
      <c r="AC733">
        <v>12.79</v>
      </c>
      <c r="AK733" t="s">
        <v>98</v>
      </c>
      <c r="AM733" t="s">
        <v>98</v>
      </c>
      <c r="AN733" t="s">
        <v>291</v>
      </c>
      <c r="AO733" t="s">
        <v>98</v>
      </c>
      <c r="AP733" t="s">
        <v>99</v>
      </c>
      <c r="AQ733" t="s">
        <v>102</v>
      </c>
      <c r="AV733" t="s">
        <v>98</v>
      </c>
      <c r="AX733" t="s">
        <v>179</v>
      </c>
      <c r="AZ733" t="s">
        <v>2149</v>
      </c>
      <c r="BF733" t="s">
        <v>2383</v>
      </c>
      <c r="BG733" t="s">
        <v>98</v>
      </c>
      <c r="BH733" t="s">
        <v>98</v>
      </c>
      <c r="BI733" t="s">
        <v>98</v>
      </c>
      <c r="BK733" t="s">
        <v>138</v>
      </c>
      <c r="BU733">
        <v>6</v>
      </c>
      <c r="BW733">
        <v>0.75</v>
      </c>
      <c r="BX733" t="s">
        <v>2379</v>
      </c>
      <c r="BZ733" t="s">
        <v>179</v>
      </c>
      <c r="CA733" t="s">
        <v>2380</v>
      </c>
      <c r="CB733" t="s">
        <v>179</v>
      </c>
      <c r="CC733">
        <v>212</v>
      </c>
      <c r="CD733">
        <v>0.44</v>
      </c>
      <c r="CE733">
        <v>52.2</v>
      </c>
      <c r="CF733">
        <v>4623</v>
      </c>
      <c r="CL733" t="s">
        <v>98</v>
      </c>
      <c r="CM733" t="s">
        <v>291</v>
      </c>
      <c r="CN733" t="s">
        <v>2156</v>
      </c>
      <c r="CO733" s="1">
        <v>43257</v>
      </c>
      <c r="CP733" s="1">
        <v>43595</v>
      </c>
    </row>
    <row r="734" spans="1:94" x14ac:dyDescent="0.25">
      <c r="A734" s="4" t="s">
        <v>2384</v>
      </c>
      <c r="B734" t="str">
        <f xml:space="preserve"> "" &amp; 706411050817</f>
        <v>706411050817</v>
      </c>
      <c r="C734" t="s">
        <v>2178</v>
      </c>
      <c r="D734" t="s">
        <v>2376</v>
      </c>
      <c r="E734" t="s">
        <v>2377</v>
      </c>
      <c r="F734" t="s">
        <v>2113</v>
      </c>
      <c r="G734">
        <v>1</v>
      </c>
      <c r="H734">
        <v>1</v>
      </c>
      <c r="I734" t="s">
        <v>97</v>
      </c>
      <c r="J734" s="32">
        <v>94.95</v>
      </c>
      <c r="K734" s="32">
        <v>284.85000000000002</v>
      </c>
      <c r="L734">
        <v>0</v>
      </c>
      <c r="N734">
        <v>0</v>
      </c>
      <c r="Q734" t="s">
        <v>291</v>
      </c>
      <c r="R734" s="32">
        <v>189.95</v>
      </c>
      <c r="S734">
        <v>9.25</v>
      </c>
      <c r="T734">
        <v>52</v>
      </c>
      <c r="U734">
        <v>52</v>
      </c>
      <c r="W734">
        <v>10.36</v>
      </c>
      <c r="X734">
        <v>1</v>
      </c>
      <c r="Y734">
        <v>9</v>
      </c>
      <c r="Z734">
        <v>24.75</v>
      </c>
      <c r="AA734">
        <v>9.5</v>
      </c>
      <c r="AB734">
        <v>1.2250000000000001</v>
      </c>
      <c r="AC734">
        <v>12.79</v>
      </c>
      <c r="AK734" t="s">
        <v>98</v>
      </c>
      <c r="AM734" t="s">
        <v>98</v>
      </c>
      <c r="AN734" t="s">
        <v>291</v>
      </c>
      <c r="AO734" t="s">
        <v>98</v>
      </c>
      <c r="AP734" t="s">
        <v>99</v>
      </c>
      <c r="AQ734" t="s">
        <v>102</v>
      </c>
      <c r="AV734" t="s">
        <v>98</v>
      </c>
      <c r="AX734" t="s">
        <v>703</v>
      </c>
      <c r="AZ734" t="s">
        <v>2180</v>
      </c>
      <c r="BF734" t="s">
        <v>2385</v>
      </c>
      <c r="BG734" t="s">
        <v>98</v>
      </c>
      <c r="BH734" t="s">
        <v>98</v>
      </c>
      <c r="BI734" t="s">
        <v>98</v>
      </c>
      <c r="BK734" t="s">
        <v>138</v>
      </c>
      <c r="BU734">
        <v>6</v>
      </c>
      <c r="BW734">
        <v>0.75</v>
      </c>
      <c r="BX734" t="s">
        <v>2386</v>
      </c>
      <c r="BZ734" t="s">
        <v>2387</v>
      </c>
      <c r="CA734" t="s">
        <v>2380</v>
      </c>
      <c r="CB734" t="s">
        <v>703</v>
      </c>
      <c r="CC734">
        <v>212</v>
      </c>
      <c r="CD734">
        <v>0.44</v>
      </c>
      <c r="CE734">
        <v>51.3</v>
      </c>
      <c r="CF734">
        <v>5816</v>
      </c>
      <c r="CL734" t="s">
        <v>98</v>
      </c>
      <c r="CM734" t="s">
        <v>291</v>
      </c>
      <c r="CN734" t="s">
        <v>2189</v>
      </c>
      <c r="CO734" s="1">
        <v>41659</v>
      </c>
      <c r="CP734" s="1">
        <v>43595</v>
      </c>
    </row>
    <row r="735" spans="1:94" x14ac:dyDescent="0.25">
      <c r="A735" s="4" t="s">
        <v>2388</v>
      </c>
      <c r="B735" t="str">
        <f xml:space="preserve"> "" &amp; 706411045479</f>
        <v>706411045479</v>
      </c>
      <c r="C735" t="s">
        <v>2382</v>
      </c>
      <c r="D735" t="s">
        <v>2376</v>
      </c>
      <c r="E735" t="s">
        <v>2377</v>
      </c>
      <c r="F735" t="s">
        <v>2113</v>
      </c>
      <c r="G735">
        <v>1</v>
      </c>
      <c r="H735">
        <v>1</v>
      </c>
      <c r="I735" t="s">
        <v>97</v>
      </c>
      <c r="J735" s="32">
        <v>94.95</v>
      </c>
      <c r="K735" s="32">
        <v>284.85000000000002</v>
      </c>
      <c r="L735">
        <v>0</v>
      </c>
      <c r="N735">
        <v>0</v>
      </c>
      <c r="Q735" t="s">
        <v>291</v>
      </c>
      <c r="R735" s="32">
        <v>189.95</v>
      </c>
      <c r="S735">
        <v>9.25</v>
      </c>
      <c r="T735">
        <v>52</v>
      </c>
      <c r="U735">
        <v>52</v>
      </c>
      <c r="W735">
        <v>10.36</v>
      </c>
      <c r="X735">
        <v>1</v>
      </c>
      <c r="Y735">
        <v>9</v>
      </c>
      <c r="Z735">
        <v>24.75</v>
      </c>
      <c r="AA735">
        <v>9.5</v>
      </c>
      <c r="AB735">
        <v>1.2250000000000001</v>
      </c>
      <c r="AC735">
        <v>12.79</v>
      </c>
      <c r="AK735" t="s">
        <v>98</v>
      </c>
      <c r="AM735" t="s">
        <v>98</v>
      </c>
      <c r="AN735" t="s">
        <v>291</v>
      </c>
      <c r="AO735" t="s">
        <v>98</v>
      </c>
      <c r="AP735" t="s">
        <v>99</v>
      </c>
      <c r="AQ735" t="s">
        <v>102</v>
      </c>
      <c r="AV735" t="s">
        <v>98</v>
      </c>
      <c r="AX735" t="s">
        <v>245</v>
      </c>
      <c r="AZ735" t="s">
        <v>2180</v>
      </c>
      <c r="BF735" t="s">
        <v>2389</v>
      </c>
      <c r="BG735" t="s">
        <v>98</v>
      </c>
      <c r="BH735" t="s">
        <v>98</v>
      </c>
      <c r="BI735" t="s">
        <v>98</v>
      </c>
      <c r="BK735" t="s">
        <v>138</v>
      </c>
      <c r="BU735">
        <v>6</v>
      </c>
      <c r="BW735">
        <v>0.75</v>
      </c>
      <c r="BX735" t="s">
        <v>2379</v>
      </c>
      <c r="BZ735" t="s">
        <v>2332</v>
      </c>
      <c r="CA735" t="s">
        <v>2380</v>
      </c>
      <c r="CB735" t="s">
        <v>245</v>
      </c>
      <c r="CC735">
        <v>212</v>
      </c>
      <c r="CD735">
        <v>0.44</v>
      </c>
      <c r="CE735">
        <v>51.3</v>
      </c>
      <c r="CF735">
        <v>5816</v>
      </c>
      <c r="CL735" t="s">
        <v>98</v>
      </c>
      <c r="CM735" t="s">
        <v>291</v>
      </c>
      <c r="CN735" t="s">
        <v>2156</v>
      </c>
      <c r="CO735" s="1">
        <v>41659</v>
      </c>
      <c r="CP735" s="1">
        <v>43595</v>
      </c>
    </row>
    <row r="736" spans="1:94" x14ac:dyDescent="0.25">
      <c r="A736" s="4" t="s">
        <v>2390</v>
      </c>
      <c r="B736" t="str">
        <f xml:space="preserve"> "" &amp; 706411045462</f>
        <v>706411045462</v>
      </c>
      <c r="C736" t="s">
        <v>2178</v>
      </c>
      <c r="D736" t="s">
        <v>2376</v>
      </c>
      <c r="E736" t="s">
        <v>2377</v>
      </c>
      <c r="F736" t="s">
        <v>2113</v>
      </c>
      <c r="G736">
        <v>1</v>
      </c>
      <c r="H736">
        <v>1</v>
      </c>
      <c r="I736" t="s">
        <v>97</v>
      </c>
      <c r="J736" s="32">
        <v>94.95</v>
      </c>
      <c r="K736" s="32">
        <v>284.85000000000002</v>
      </c>
      <c r="L736">
        <v>0</v>
      </c>
      <c r="N736">
        <v>0</v>
      </c>
      <c r="Q736" t="s">
        <v>291</v>
      </c>
      <c r="R736" s="32">
        <v>189.95</v>
      </c>
      <c r="S736">
        <v>9.25</v>
      </c>
      <c r="T736">
        <v>52</v>
      </c>
      <c r="U736">
        <v>52</v>
      </c>
      <c r="W736">
        <v>10.36</v>
      </c>
      <c r="X736">
        <v>1</v>
      </c>
      <c r="Y736">
        <v>9</v>
      </c>
      <c r="Z736">
        <v>24.75</v>
      </c>
      <c r="AA736">
        <v>9.5</v>
      </c>
      <c r="AB736">
        <v>1.2250000000000001</v>
      </c>
      <c r="AC736">
        <v>12.79</v>
      </c>
      <c r="AK736" t="s">
        <v>98</v>
      </c>
      <c r="AM736" t="s">
        <v>98</v>
      </c>
      <c r="AN736" t="s">
        <v>291</v>
      </c>
      <c r="AO736" t="s">
        <v>98</v>
      </c>
      <c r="AP736" t="s">
        <v>99</v>
      </c>
      <c r="AQ736" t="s">
        <v>102</v>
      </c>
      <c r="AV736" t="s">
        <v>98</v>
      </c>
      <c r="AX736" t="s">
        <v>306</v>
      </c>
      <c r="AZ736" t="s">
        <v>2180</v>
      </c>
      <c r="BF736" t="s">
        <v>2391</v>
      </c>
      <c r="BG736" t="s">
        <v>98</v>
      </c>
      <c r="BH736" t="s">
        <v>98</v>
      </c>
      <c r="BI736" t="s">
        <v>98</v>
      </c>
      <c r="BK736" t="s">
        <v>138</v>
      </c>
      <c r="BU736">
        <v>6</v>
      </c>
      <c r="BW736">
        <v>0.75</v>
      </c>
      <c r="BX736">
        <v>22</v>
      </c>
      <c r="BZ736" t="s">
        <v>2374</v>
      </c>
      <c r="CA736" t="s">
        <v>2380</v>
      </c>
      <c r="CB736" t="s">
        <v>306</v>
      </c>
      <c r="CC736">
        <v>212</v>
      </c>
      <c r="CD736">
        <v>0.44</v>
      </c>
      <c r="CE736">
        <v>51.3</v>
      </c>
      <c r="CF736">
        <v>5816</v>
      </c>
      <c r="CL736" t="s">
        <v>98</v>
      </c>
      <c r="CM736" t="s">
        <v>291</v>
      </c>
      <c r="CN736" t="s">
        <v>2156</v>
      </c>
      <c r="CO736" s="1">
        <v>41659</v>
      </c>
      <c r="CP736" s="1">
        <v>43595</v>
      </c>
    </row>
    <row r="737" spans="1:94" x14ac:dyDescent="0.25">
      <c r="A737" s="4" t="s">
        <v>2392</v>
      </c>
      <c r="B737" t="str">
        <f xml:space="preserve"> "" &amp; 706411037207</f>
        <v>706411037207</v>
      </c>
      <c r="C737" t="s">
        <v>2178</v>
      </c>
      <c r="D737" t="s">
        <v>2393</v>
      </c>
      <c r="E737" t="s">
        <v>2394</v>
      </c>
      <c r="F737" t="s">
        <v>2113</v>
      </c>
      <c r="G737">
        <v>1</v>
      </c>
      <c r="H737">
        <v>1</v>
      </c>
      <c r="I737" t="s">
        <v>97</v>
      </c>
      <c r="J737" s="32">
        <v>329.95</v>
      </c>
      <c r="K737" s="32">
        <v>989.85</v>
      </c>
      <c r="L737">
        <v>0</v>
      </c>
      <c r="N737">
        <v>0</v>
      </c>
      <c r="Q737" t="s">
        <v>291</v>
      </c>
      <c r="R737" s="32">
        <v>579.95000000000005</v>
      </c>
      <c r="S737">
        <v>18</v>
      </c>
      <c r="T737">
        <v>56</v>
      </c>
      <c r="U737">
        <v>56</v>
      </c>
      <c r="W737">
        <v>26.9</v>
      </c>
      <c r="X737">
        <v>1</v>
      </c>
      <c r="Y737">
        <v>10.75</v>
      </c>
      <c r="Z737">
        <v>26.88</v>
      </c>
      <c r="AA737">
        <v>11.5</v>
      </c>
      <c r="AB737">
        <v>1.923</v>
      </c>
      <c r="AC737">
        <v>29.98</v>
      </c>
      <c r="AD737">
        <v>120</v>
      </c>
      <c r="AE737">
        <v>1</v>
      </c>
      <c r="AF737" t="s">
        <v>2395</v>
      </c>
      <c r="AG737">
        <v>100</v>
      </c>
      <c r="AK737" t="s">
        <v>291</v>
      </c>
      <c r="AM737" t="s">
        <v>98</v>
      </c>
      <c r="AN737" t="s">
        <v>98</v>
      </c>
      <c r="AO737" t="s">
        <v>291</v>
      </c>
      <c r="AP737" t="s">
        <v>99</v>
      </c>
      <c r="AQ737" t="s">
        <v>102</v>
      </c>
      <c r="AR737" s="3">
        <v>41823</v>
      </c>
      <c r="AV737" t="s">
        <v>98</v>
      </c>
      <c r="AX737" t="s">
        <v>150</v>
      </c>
      <c r="AZ737" t="s">
        <v>2180</v>
      </c>
      <c r="BB737" t="s">
        <v>54</v>
      </c>
      <c r="BC737" t="s">
        <v>2396</v>
      </c>
      <c r="BF737" t="s">
        <v>2397</v>
      </c>
      <c r="BG737" t="s">
        <v>98</v>
      </c>
      <c r="BH737" t="s">
        <v>98</v>
      </c>
      <c r="BI737" t="s">
        <v>98</v>
      </c>
      <c r="BK737" t="s">
        <v>138</v>
      </c>
      <c r="BU737">
        <v>9</v>
      </c>
      <c r="BW737">
        <v>0.5</v>
      </c>
      <c r="BX737">
        <v>14</v>
      </c>
      <c r="BY737" t="s">
        <v>291</v>
      </c>
      <c r="BZ737" t="s">
        <v>2398</v>
      </c>
      <c r="CA737" t="s">
        <v>2399</v>
      </c>
      <c r="CB737" t="s">
        <v>150</v>
      </c>
      <c r="CC737">
        <v>178</v>
      </c>
      <c r="CD737">
        <v>0.52</v>
      </c>
      <c r="CE737">
        <v>67</v>
      </c>
      <c r="CF737">
        <v>5702.79</v>
      </c>
      <c r="CL737" t="s">
        <v>291</v>
      </c>
      <c r="CM737" t="s">
        <v>98</v>
      </c>
      <c r="CN737" t="s">
        <v>2272</v>
      </c>
      <c r="CO737" s="1">
        <v>39805</v>
      </c>
      <c r="CP737" s="1">
        <v>43595</v>
      </c>
    </row>
    <row r="738" spans="1:94" x14ac:dyDescent="0.25">
      <c r="A738" s="4" t="s">
        <v>2400</v>
      </c>
      <c r="B738" t="str">
        <f xml:space="preserve"> "" &amp; 706411037214</f>
        <v>706411037214</v>
      </c>
      <c r="C738" t="s">
        <v>2178</v>
      </c>
      <c r="D738" t="s">
        <v>2393</v>
      </c>
      <c r="E738" t="s">
        <v>2394</v>
      </c>
      <c r="F738" t="s">
        <v>2113</v>
      </c>
      <c r="G738">
        <v>1</v>
      </c>
      <c r="H738">
        <v>1</v>
      </c>
      <c r="I738" t="s">
        <v>97</v>
      </c>
      <c r="J738" s="32">
        <v>329.95</v>
      </c>
      <c r="K738" s="32">
        <v>989.85</v>
      </c>
      <c r="L738">
        <v>0</v>
      </c>
      <c r="N738">
        <v>0</v>
      </c>
      <c r="Q738" t="s">
        <v>291</v>
      </c>
      <c r="R738" s="32">
        <v>579.95000000000005</v>
      </c>
      <c r="S738">
        <v>18</v>
      </c>
      <c r="T738">
        <v>56</v>
      </c>
      <c r="U738">
        <v>56</v>
      </c>
      <c r="W738">
        <v>26.9</v>
      </c>
      <c r="X738">
        <v>1</v>
      </c>
      <c r="Y738">
        <v>10.75</v>
      </c>
      <c r="Z738">
        <v>26.88</v>
      </c>
      <c r="AA738">
        <v>11.5</v>
      </c>
      <c r="AB738">
        <v>1.923</v>
      </c>
      <c r="AC738">
        <v>29.98</v>
      </c>
      <c r="AD738">
        <v>120</v>
      </c>
      <c r="AE738">
        <v>1</v>
      </c>
      <c r="AF738" t="s">
        <v>2186</v>
      </c>
      <c r="AG738">
        <v>100</v>
      </c>
      <c r="AK738" t="s">
        <v>291</v>
      </c>
      <c r="AM738" t="s">
        <v>98</v>
      </c>
      <c r="AN738" t="s">
        <v>98</v>
      </c>
      <c r="AO738" t="s">
        <v>291</v>
      </c>
      <c r="AP738" t="s">
        <v>99</v>
      </c>
      <c r="AQ738" t="s">
        <v>102</v>
      </c>
      <c r="AV738" t="s">
        <v>98</v>
      </c>
      <c r="AX738" t="s">
        <v>630</v>
      </c>
      <c r="AZ738" t="s">
        <v>2180</v>
      </c>
      <c r="BB738" t="s">
        <v>54</v>
      </c>
      <c r="BC738" t="s">
        <v>2396</v>
      </c>
      <c r="BF738" t="s">
        <v>2401</v>
      </c>
      <c r="BG738" t="s">
        <v>98</v>
      </c>
      <c r="BH738" t="s">
        <v>98</v>
      </c>
      <c r="BI738" t="s">
        <v>98</v>
      </c>
      <c r="BK738" t="s">
        <v>138</v>
      </c>
      <c r="BU738">
        <v>9</v>
      </c>
      <c r="BW738">
        <v>0.5</v>
      </c>
      <c r="BX738">
        <v>14</v>
      </c>
      <c r="BY738" t="s">
        <v>291</v>
      </c>
      <c r="BZ738" t="s">
        <v>2402</v>
      </c>
      <c r="CA738" t="s">
        <v>2399</v>
      </c>
      <c r="CB738" t="s">
        <v>630</v>
      </c>
      <c r="CC738">
        <v>178</v>
      </c>
      <c r="CD738">
        <v>0.52</v>
      </c>
      <c r="CE738">
        <v>67</v>
      </c>
      <c r="CF738">
        <v>5702.8</v>
      </c>
      <c r="CL738" t="s">
        <v>291</v>
      </c>
      <c r="CM738" t="s">
        <v>98</v>
      </c>
      <c r="CN738" t="s">
        <v>2272</v>
      </c>
      <c r="CO738" s="1">
        <v>40954</v>
      </c>
      <c r="CP738" s="1">
        <v>43595</v>
      </c>
    </row>
    <row r="739" spans="1:94" x14ac:dyDescent="0.25">
      <c r="A739" s="4" t="s">
        <v>2403</v>
      </c>
      <c r="B739" t="str">
        <f xml:space="preserve"> "" &amp; 706411037221</f>
        <v>706411037221</v>
      </c>
      <c r="C739" t="s">
        <v>2178</v>
      </c>
      <c r="D739" t="s">
        <v>2393</v>
      </c>
      <c r="E739" t="s">
        <v>2394</v>
      </c>
      <c r="F739" t="s">
        <v>2113</v>
      </c>
      <c r="G739">
        <v>1</v>
      </c>
      <c r="H739">
        <v>1</v>
      </c>
      <c r="I739" t="s">
        <v>97</v>
      </c>
      <c r="J739" s="32">
        <v>289.95</v>
      </c>
      <c r="K739" s="32">
        <v>869.85</v>
      </c>
      <c r="L739">
        <v>0</v>
      </c>
      <c r="N739">
        <v>0</v>
      </c>
      <c r="Q739" t="s">
        <v>291</v>
      </c>
      <c r="R739" s="32">
        <v>539.95000000000005</v>
      </c>
      <c r="S739">
        <v>18</v>
      </c>
      <c r="T739">
        <v>56</v>
      </c>
      <c r="U739">
        <v>56</v>
      </c>
      <c r="W739">
        <v>26.9</v>
      </c>
      <c r="X739">
        <v>1</v>
      </c>
      <c r="Y739">
        <v>10.75</v>
      </c>
      <c r="Z739">
        <v>26.88</v>
      </c>
      <c r="AA739">
        <v>11.5</v>
      </c>
      <c r="AB739">
        <v>1.923</v>
      </c>
      <c r="AC739">
        <v>29.98</v>
      </c>
      <c r="AE739">
        <v>1</v>
      </c>
      <c r="AF739" t="s">
        <v>2186</v>
      </c>
      <c r="AG739">
        <v>100</v>
      </c>
      <c r="AK739" t="s">
        <v>291</v>
      </c>
      <c r="AM739" t="s">
        <v>98</v>
      </c>
      <c r="AN739" t="s">
        <v>98</v>
      </c>
      <c r="AO739" t="s">
        <v>291</v>
      </c>
      <c r="AP739" t="s">
        <v>99</v>
      </c>
      <c r="AQ739" t="s">
        <v>102</v>
      </c>
      <c r="AV739" t="s">
        <v>98</v>
      </c>
      <c r="AX739" t="s">
        <v>302</v>
      </c>
      <c r="AZ739" t="s">
        <v>2180</v>
      </c>
      <c r="BB739" t="s">
        <v>54</v>
      </c>
      <c r="BC739" t="s">
        <v>2396</v>
      </c>
      <c r="BF739" t="s">
        <v>2404</v>
      </c>
      <c r="BG739" t="s">
        <v>98</v>
      </c>
      <c r="BH739" t="s">
        <v>98</v>
      </c>
      <c r="BI739" t="s">
        <v>98</v>
      </c>
      <c r="BK739" t="s">
        <v>138</v>
      </c>
      <c r="BU739">
        <v>9</v>
      </c>
      <c r="BW739">
        <v>0.5</v>
      </c>
      <c r="BX739">
        <v>14</v>
      </c>
      <c r="BY739" t="s">
        <v>291</v>
      </c>
      <c r="BZ739" t="s">
        <v>302</v>
      </c>
      <c r="CA739" t="s">
        <v>2399</v>
      </c>
      <c r="CB739" t="s">
        <v>302</v>
      </c>
      <c r="CC739">
        <v>183</v>
      </c>
      <c r="CD739">
        <v>0.56000000000000005</v>
      </c>
      <c r="CE739">
        <v>69</v>
      </c>
      <c r="CF739">
        <v>6700</v>
      </c>
      <c r="CL739" t="s">
        <v>291</v>
      </c>
      <c r="CM739" t="s">
        <v>98</v>
      </c>
      <c r="CN739" t="s">
        <v>2272</v>
      </c>
      <c r="CO739" s="1">
        <v>39805</v>
      </c>
      <c r="CP739" s="1">
        <v>43595</v>
      </c>
    </row>
    <row r="740" spans="1:94" x14ac:dyDescent="0.25">
      <c r="A740" s="4" t="s">
        <v>2405</v>
      </c>
      <c r="B740" t="str">
        <f xml:space="preserve"> "" &amp; 706411044052</f>
        <v>706411044052</v>
      </c>
      <c r="C740" t="s">
        <v>2178</v>
      </c>
      <c r="D740" t="s">
        <v>2406</v>
      </c>
      <c r="E740" t="s">
        <v>2407</v>
      </c>
      <c r="F740" t="s">
        <v>2113</v>
      </c>
      <c r="G740">
        <v>1</v>
      </c>
      <c r="H740">
        <v>1</v>
      </c>
      <c r="I740" t="s">
        <v>97</v>
      </c>
      <c r="J740" s="32">
        <v>129.94999999999999</v>
      </c>
      <c r="K740" s="32">
        <v>389.85</v>
      </c>
      <c r="L740">
        <v>0</v>
      </c>
      <c r="N740">
        <v>0</v>
      </c>
      <c r="Q740" t="s">
        <v>291</v>
      </c>
      <c r="R740" s="32">
        <v>259.95</v>
      </c>
      <c r="S740">
        <v>16.5</v>
      </c>
      <c r="T740">
        <v>60</v>
      </c>
      <c r="U740">
        <v>60</v>
      </c>
      <c r="W740">
        <v>28.06</v>
      </c>
      <c r="X740">
        <v>1</v>
      </c>
      <c r="Y740">
        <v>11.25</v>
      </c>
      <c r="Z740">
        <v>24.88</v>
      </c>
      <c r="AA740">
        <v>16.5</v>
      </c>
      <c r="AB740">
        <v>2.673</v>
      </c>
      <c r="AC740">
        <v>31.88</v>
      </c>
      <c r="AK740" t="s">
        <v>98</v>
      </c>
      <c r="AM740" t="s">
        <v>98</v>
      </c>
      <c r="AN740" t="s">
        <v>98</v>
      </c>
      <c r="AO740" t="s">
        <v>291</v>
      </c>
      <c r="AP740" t="s">
        <v>99</v>
      </c>
      <c r="AQ740" t="s">
        <v>102</v>
      </c>
      <c r="AV740" t="s">
        <v>98</v>
      </c>
      <c r="AX740" t="s">
        <v>159</v>
      </c>
      <c r="AZ740" t="s">
        <v>2118</v>
      </c>
      <c r="BC740" t="s">
        <v>485</v>
      </c>
      <c r="BF740" t="s">
        <v>2409</v>
      </c>
      <c r="BG740" t="s">
        <v>98</v>
      </c>
      <c r="BH740" t="s">
        <v>98</v>
      </c>
      <c r="BI740" t="s">
        <v>98</v>
      </c>
      <c r="BJ740" t="s">
        <v>291</v>
      </c>
      <c r="BK740" t="s">
        <v>292</v>
      </c>
      <c r="BU740">
        <v>6</v>
      </c>
      <c r="BW740">
        <v>0.75</v>
      </c>
      <c r="BX740">
        <v>14</v>
      </c>
      <c r="BY740" t="s">
        <v>98</v>
      </c>
      <c r="BZ740" t="s">
        <v>441</v>
      </c>
      <c r="CA740" t="s">
        <v>2410</v>
      </c>
      <c r="CB740" t="s">
        <v>159</v>
      </c>
      <c r="CC740">
        <v>129</v>
      </c>
      <c r="CD740">
        <v>0.55200000000000005</v>
      </c>
      <c r="CE740">
        <v>64.3</v>
      </c>
      <c r="CF740">
        <v>5747</v>
      </c>
      <c r="CL740" t="s">
        <v>98</v>
      </c>
      <c r="CM740" t="s">
        <v>291</v>
      </c>
      <c r="CO740" s="1">
        <v>41349</v>
      </c>
      <c r="CP740" s="1">
        <v>43595</v>
      </c>
    </row>
    <row r="741" spans="1:94" x14ac:dyDescent="0.25">
      <c r="A741" s="4" t="s">
        <v>2411</v>
      </c>
      <c r="B741" t="str">
        <f xml:space="preserve"> "" &amp; 706411050770</f>
        <v>706411050770</v>
      </c>
      <c r="C741" t="s">
        <v>2178</v>
      </c>
      <c r="D741" t="s">
        <v>2406</v>
      </c>
      <c r="E741" t="s">
        <v>2407</v>
      </c>
      <c r="F741" t="s">
        <v>2113</v>
      </c>
      <c r="G741">
        <v>1</v>
      </c>
      <c r="H741">
        <v>1</v>
      </c>
      <c r="I741" t="s">
        <v>97</v>
      </c>
      <c r="J741" s="32">
        <v>129.94999999999999</v>
      </c>
      <c r="K741" s="32">
        <v>389.85</v>
      </c>
      <c r="L741">
        <v>0</v>
      </c>
      <c r="N741">
        <v>0</v>
      </c>
      <c r="Q741" t="s">
        <v>291</v>
      </c>
      <c r="R741" s="32">
        <v>259.95</v>
      </c>
      <c r="S741">
        <v>16.5</v>
      </c>
      <c r="T741">
        <v>60</v>
      </c>
      <c r="U741">
        <v>60</v>
      </c>
      <c r="W741">
        <v>28.06</v>
      </c>
      <c r="X741">
        <v>1</v>
      </c>
      <c r="Y741">
        <v>11.25</v>
      </c>
      <c r="Z741">
        <v>24.88</v>
      </c>
      <c r="AA741">
        <v>16.5</v>
      </c>
      <c r="AB741">
        <v>2.673</v>
      </c>
      <c r="AC741">
        <v>31.88</v>
      </c>
      <c r="AK741" t="s">
        <v>98</v>
      </c>
      <c r="AM741" t="s">
        <v>98</v>
      </c>
      <c r="AN741" t="s">
        <v>98</v>
      </c>
      <c r="AO741" t="s">
        <v>291</v>
      </c>
      <c r="AP741" t="s">
        <v>99</v>
      </c>
      <c r="AQ741" t="s">
        <v>102</v>
      </c>
      <c r="AV741" t="s">
        <v>98</v>
      </c>
      <c r="AX741" t="s">
        <v>197</v>
      </c>
      <c r="AZ741" t="s">
        <v>2118</v>
      </c>
      <c r="BF741" t="s">
        <v>2412</v>
      </c>
      <c r="BG741" t="s">
        <v>98</v>
      </c>
      <c r="BH741" t="s">
        <v>98</v>
      </c>
      <c r="BI741" t="s">
        <v>98</v>
      </c>
      <c r="BJ741" t="s">
        <v>291</v>
      </c>
      <c r="BK741" t="s">
        <v>292</v>
      </c>
      <c r="BU741">
        <v>6</v>
      </c>
      <c r="BW741">
        <v>0.75</v>
      </c>
      <c r="BX741">
        <v>14</v>
      </c>
      <c r="BZ741" t="s">
        <v>2413</v>
      </c>
      <c r="CA741" t="s">
        <v>2410</v>
      </c>
      <c r="CB741" t="s">
        <v>197</v>
      </c>
      <c r="CC741">
        <v>129</v>
      </c>
      <c r="CD741">
        <v>0.55200000000000005</v>
      </c>
      <c r="CE741">
        <v>64.3</v>
      </c>
      <c r="CF741">
        <v>5747</v>
      </c>
      <c r="CL741" t="s">
        <v>98</v>
      </c>
      <c r="CM741" t="s">
        <v>291</v>
      </c>
      <c r="CN741" t="s">
        <v>2414</v>
      </c>
      <c r="CO741" s="1">
        <v>41832</v>
      </c>
      <c r="CP741" s="1">
        <v>43595</v>
      </c>
    </row>
    <row r="742" spans="1:94" x14ac:dyDescent="0.25">
      <c r="A742" s="4" t="s">
        <v>2415</v>
      </c>
      <c r="B742" t="str">
        <f xml:space="preserve"> "" &amp; 706411044069</f>
        <v>706411044069</v>
      </c>
      <c r="C742" t="s">
        <v>2178</v>
      </c>
      <c r="D742" t="s">
        <v>2406</v>
      </c>
      <c r="E742" t="s">
        <v>2407</v>
      </c>
      <c r="F742" t="s">
        <v>2113</v>
      </c>
      <c r="G742">
        <v>1</v>
      </c>
      <c r="H742">
        <v>1</v>
      </c>
      <c r="I742" t="s">
        <v>97</v>
      </c>
      <c r="J742" s="32">
        <v>129.94999999999999</v>
      </c>
      <c r="K742" s="32">
        <v>389.85</v>
      </c>
      <c r="L742">
        <v>0</v>
      </c>
      <c r="N742">
        <v>0</v>
      </c>
      <c r="Q742" t="s">
        <v>291</v>
      </c>
      <c r="R742" s="32">
        <v>259.95</v>
      </c>
      <c r="S742">
        <v>16.5</v>
      </c>
      <c r="T742">
        <v>60</v>
      </c>
      <c r="U742">
        <v>60</v>
      </c>
      <c r="W742">
        <v>28.06</v>
      </c>
      <c r="X742">
        <v>1</v>
      </c>
      <c r="Y742">
        <v>11.25</v>
      </c>
      <c r="Z742">
        <v>24.88</v>
      </c>
      <c r="AA742">
        <v>16.5</v>
      </c>
      <c r="AB742">
        <v>2.673</v>
      </c>
      <c r="AC742">
        <v>31.88</v>
      </c>
      <c r="AK742" t="s">
        <v>98</v>
      </c>
      <c r="AM742" t="s">
        <v>98</v>
      </c>
      <c r="AN742" t="s">
        <v>98</v>
      </c>
      <c r="AO742" t="s">
        <v>291</v>
      </c>
      <c r="AP742" t="s">
        <v>99</v>
      </c>
      <c r="AQ742" t="s">
        <v>102</v>
      </c>
      <c r="AV742" t="s">
        <v>98</v>
      </c>
      <c r="AX742" t="s">
        <v>245</v>
      </c>
      <c r="AZ742" t="s">
        <v>2118</v>
      </c>
      <c r="BC742" t="s">
        <v>485</v>
      </c>
      <c r="BF742" t="s">
        <v>2416</v>
      </c>
      <c r="BG742" t="s">
        <v>98</v>
      </c>
      <c r="BH742" t="s">
        <v>98</v>
      </c>
      <c r="BI742" t="s">
        <v>98</v>
      </c>
      <c r="BJ742" t="s">
        <v>291</v>
      </c>
      <c r="BK742" t="s">
        <v>292</v>
      </c>
      <c r="BU742">
        <v>6</v>
      </c>
      <c r="BW742">
        <v>0.75</v>
      </c>
      <c r="BX742">
        <v>14</v>
      </c>
      <c r="BY742" t="s">
        <v>98</v>
      </c>
      <c r="BZ742" t="s">
        <v>245</v>
      </c>
      <c r="CB742" t="s">
        <v>245</v>
      </c>
      <c r="CC742">
        <v>129</v>
      </c>
      <c r="CD742">
        <v>0.55200000000000005</v>
      </c>
      <c r="CE742">
        <v>64.3</v>
      </c>
      <c r="CF742">
        <v>5747</v>
      </c>
      <c r="CL742" t="s">
        <v>98</v>
      </c>
      <c r="CM742" t="s">
        <v>291</v>
      </c>
      <c r="CN742" t="s">
        <v>2156</v>
      </c>
      <c r="CO742" s="1">
        <v>41349</v>
      </c>
      <c r="CP742" s="1">
        <v>43595</v>
      </c>
    </row>
    <row r="743" spans="1:94" x14ac:dyDescent="0.25">
      <c r="A743" s="4" t="s">
        <v>2417</v>
      </c>
      <c r="B743" t="str">
        <f xml:space="preserve"> "" &amp; 706411056512</f>
        <v>706411056512</v>
      </c>
      <c r="C743" t="s">
        <v>2418</v>
      </c>
      <c r="D743" t="s">
        <v>2406</v>
      </c>
      <c r="E743" t="s">
        <v>2407</v>
      </c>
      <c r="F743" t="s">
        <v>2113</v>
      </c>
      <c r="G743">
        <v>1</v>
      </c>
      <c r="H743">
        <v>1</v>
      </c>
      <c r="I743" t="s">
        <v>97</v>
      </c>
      <c r="J743" s="32">
        <v>129.94999999999999</v>
      </c>
      <c r="K743" s="32">
        <v>389.85</v>
      </c>
      <c r="L743">
        <v>0</v>
      </c>
      <c r="N743">
        <v>0</v>
      </c>
      <c r="Q743" t="s">
        <v>291</v>
      </c>
      <c r="R743" s="32">
        <v>259.95</v>
      </c>
      <c r="S743">
        <v>16.5</v>
      </c>
      <c r="T743">
        <v>60</v>
      </c>
      <c r="U743">
        <v>60</v>
      </c>
      <c r="W743">
        <v>28.06</v>
      </c>
      <c r="X743">
        <v>1</v>
      </c>
      <c r="Y743">
        <v>11.25</v>
      </c>
      <c r="Z743">
        <v>24.88</v>
      </c>
      <c r="AA743">
        <v>16.5</v>
      </c>
      <c r="AB743">
        <v>2.673</v>
      </c>
      <c r="AC743">
        <v>31.88</v>
      </c>
      <c r="AK743" t="s">
        <v>98</v>
      </c>
      <c r="AM743" t="s">
        <v>98</v>
      </c>
      <c r="AN743" t="s">
        <v>98</v>
      </c>
      <c r="AO743" t="s">
        <v>291</v>
      </c>
      <c r="AP743" t="s">
        <v>99</v>
      </c>
      <c r="AQ743" t="s">
        <v>102</v>
      </c>
      <c r="AV743" t="s">
        <v>98</v>
      </c>
      <c r="AX743" t="s">
        <v>269</v>
      </c>
      <c r="AZ743" t="s">
        <v>535</v>
      </c>
      <c r="BF743" t="s">
        <v>2419</v>
      </c>
      <c r="BG743" t="s">
        <v>98</v>
      </c>
      <c r="BH743" t="s">
        <v>98</v>
      </c>
      <c r="BI743" t="s">
        <v>98</v>
      </c>
      <c r="BJ743" t="s">
        <v>291</v>
      </c>
      <c r="BK743" t="s">
        <v>292</v>
      </c>
      <c r="BU743">
        <v>6</v>
      </c>
      <c r="BW743">
        <v>0.75</v>
      </c>
      <c r="BX743">
        <v>14</v>
      </c>
      <c r="BZ743" t="s">
        <v>269</v>
      </c>
      <c r="CA743" t="s">
        <v>2410</v>
      </c>
      <c r="CB743" t="s">
        <v>269</v>
      </c>
      <c r="CC743">
        <v>129</v>
      </c>
      <c r="CD743">
        <v>0.55200000000000005</v>
      </c>
      <c r="CE743">
        <v>64.3</v>
      </c>
      <c r="CF743">
        <v>5747</v>
      </c>
      <c r="CL743" t="s">
        <v>98</v>
      </c>
      <c r="CM743" t="s">
        <v>291</v>
      </c>
      <c r="CN743" t="s">
        <v>2156</v>
      </c>
      <c r="CO743" s="1">
        <v>42754</v>
      </c>
      <c r="CP743" s="1">
        <v>43595</v>
      </c>
    </row>
    <row r="744" spans="1:94" x14ac:dyDescent="0.25">
      <c r="A744" s="4" t="s">
        <v>2420</v>
      </c>
      <c r="B744" t="str">
        <f xml:space="preserve"> "" &amp; 706411051081</f>
        <v>706411051081</v>
      </c>
      <c r="C744" t="s">
        <v>2421</v>
      </c>
      <c r="D744" t="s">
        <v>2422</v>
      </c>
      <c r="E744" t="s">
        <v>2423</v>
      </c>
      <c r="F744" t="s">
        <v>2113</v>
      </c>
      <c r="G744">
        <v>1</v>
      </c>
      <c r="H744">
        <v>1</v>
      </c>
      <c r="I744" t="s">
        <v>97</v>
      </c>
      <c r="J744" s="32">
        <v>79.95</v>
      </c>
      <c r="K744" s="32">
        <v>239.85</v>
      </c>
      <c r="L744">
        <v>0</v>
      </c>
      <c r="N744">
        <v>0</v>
      </c>
      <c r="Q744" t="s">
        <v>291</v>
      </c>
      <c r="R744" s="32">
        <v>149.94999999999999</v>
      </c>
      <c r="S744">
        <v>13.5</v>
      </c>
      <c r="T744">
        <v>52</v>
      </c>
      <c r="U744">
        <v>52</v>
      </c>
      <c r="W744">
        <v>18.25</v>
      </c>
      <c r="X744">
        <v>1</v>
      </c>
      <c r="Y744">
        <v>11.75</v>
      </c>
      <c r="Z744">
        <v>25.13</v>
      </c>
      <c r="AA744">
        <v>14</v>
      </c>
      <c r="AB744">
        <v>2.3919999999999999</v>
      </c>
      <c r="AC744">
        <v>21.94</v>
      </c>
      <c r="AE744">
        <v>3</v>
      </c>
      <c r="AF744" t="s">
        <v>2424</v>
      </c>
      <c r="AG744">
        <v>60</v>
      </c>
      <c r="AK744" t="s">
        <v>291</v>
      </c>
      <c r="AM744" t="s">
        <v>98</v>
      </c>
      <c r="AN744" t="s">
        <v>291</v>
      </c>
      <c r="AO744" t="s">
        <v>98</v>
      </c>
      <c r="AP744" t="s">
        <v>99</v>
      </c>
      <c r="AQ744" t="s">
        <v>102</v>
      </c>
      <c r="AV744" t="s">
        <v>98</v>
      </c>
      <c r="AX744" t="s">
        <v>150</v>
      </c>
      <c r="AZ744" t="s">
        <v>535</v>
      </c>
      <c r="BB744" t="s">
        <v>106</v>
      </c>
      <c r="BC744" t="s">
        <v>2339</v>
      </c>
      <c r="BF744" t="s">
        <v>2425</v>
      </c>
      <c r="BG744" t="s">
        <v>98</v>
      </c>
      <c r="BH744" t="s">
        <v>98</v>
      </c>
      <c r="BI744" t="s">
        <v>98</v>
      </c>
      <c r="BK744" t="s">
        <v>138</v>
      </c>
      <c r="BX744" t="s">
        <v>2206</v>
      </c>
      <c r="BY744" t="s">
        <v>291</v>
      </c>
      <c r="BZ744" t="s">
        <v>2426</v>
      </c>
      <c r="CA744" t="s">
        <v>2427</v>
      </c>
      <c r="CB744" t="s">
        <v>150</v>
      </c>
      <c r="CC744">
        <v>168</v>
      </c>
      <c r="CD744">
        <v>0.53</v>
      </c>
      <c r="CE744">
        <v>62.6</v>
      </c>
      <c r="CF744">
        <v>5138</v>
      </c>
      <c r="CL744" t="s">
        <v>98</v>
      </c>
      <c r="CM744" t="s">
        <v>98</v>
      </c>
      <c r="CO744" s="1">
        <v>41939</v>
      </c>
      <c r="CP744" s="1">
        <v>43595</v>
      </c>
    </row>
    <row r="745" spans="1:94" x14ac:dyDescent="0.25">
      <c r="A745" s="4" t="s">
        <v>2428</v>
      </c>
      <c r="B745" t="str">
        <f xml:space="preserve"> "" &amp; 706411051104</f>
        <v>706411051104</v>
      </c>
      <c r="C745" t="s">
        <v>2421</v>
      </c>
      <c r="D745" t="s">
        <v>2422</v>
      </c>
      <c r="E745" t="s">
        <v>2423</v>
      </c>
      <c r="F745" t="s">
        <v>2113</v>
      </c>
      <c r="G745">
        <v>1</v>
      </c>
      <c r="H745">
        <v>1</v>
      </c>
      <c r="I745" t="s">
        <v>97</v>
      </c>
      <c r="J745" s="32">
        <v>79.95</v>
      </c>
      <c r="K745" s="32">
        <v>239.85</v>
      </c>
      <c r="L745">
        <v>0</v>
      </c>
      <c r="N745">
        <v>0</v>
      </c>
      <c r="Q745" t="s">
        <v>291</v>
      </c>
      <c r="R745" s="32">
        <v>149.94999999999999</v>
      </c>
      <c r="S745">
        <v>13.5</v>
      </c>
      <c r="T745">
        <v>52</v>
      </c>
      <c r="U745">
        <v>52</v>
      </c>
      <c r="W745">
        <v>18.25</v>
      </c>
      <c r="X745">
        <v>1</v>
      </c>
      <c r="Y745">
        <v>11.75</v>
      </c>
      <c r="Z745">
        <v>25.13</v>
      </c>
      <c r="AA745">
        <v>14</v>
      </c>
      <c r="AB745">
        <v>2.3919999999999999</v>
      </c>
      <c r="AC745">
        <v>21.94</v>
      </c>
      <c r="AE745">
        <v>3</v>
      </c>
      <c r="AF745" t="s">
        <v>2429</v>
      </c>
      <c r="AG745">
        <v>60</v>
      </c>
      <c r="AK745" t="s">
        <v>291</v>
      </c>
      <c r="AM745" t="s">
        <v>98</v>
      </c>
      <c r="AN745" t="s">
        <v>291</v>
      </c>
      <c r="AO745" t="s">
        <v>98</v>
      </c>
      <c r="AP745" t="s">
        <v>99</v>
      </c>
      <c r="AQ745" t="s">
        <v>102</v>
      </c>
      <c r="AV745" t="s">
        <v>98</v>
      </c>
      <c r="AX745" t="s">
        <v>703</v>
      </c>
      <c r="AZ745" t="s">
        <v>2118</v>
      </c>
      <c r="BB745" t="s">
        <v>106</v>
      </c>
      <c r="BC745" t="s">
        <v>2351</v>
      </c>
      <c r="BF745" t="s">
        <v>2430</v>
      </c>
      <c r="BG745" t="s">
        <v>98</v>
      </c>
      <c r="BH745" t="s">
        <v>98</v>
      </c>
      <c r="BI745" t="s">
        <v>98</v>
      </c>
      <c r="BK745" t="s">
        <v>138</v>
      </c>
      <c r="BX745" t="s">
        <v>2206</v>
      </c>
      <c r="BY745" t="s">
        <v>291</v>
      </c>
      <c r="BZ745" t="s">
        <v>2143</v>
      </c>
      <c r="CA745" t="s">
        <v>2427</v>
      </c>
      <c r="CB745" t="s">
        <v>703</v>
      </c>
      <c r="CC745">
        <v>168</v>
      </c>
      <c r="CD745">
        <v>0.53</v>
      </c>
      <c r="CE745">
        <v>62.6</v>
      </c>
      <c r="CF745">
        <v>5138</v>
      </c>
      <c r="CL745" t="s">
        <v>98</v>
      </c>
      <c r="CM745" t="s">
        <v>98</v>
      </c>
      <c r="CO745" s="1">
        <v>41939</v>
      </c>
      <c r="CP745" s="1">
        <v>43595</v>
      </c>
    </row>
    <row r="746" spans="1:94" x14ac:dyDescent="0.25">
      <c r="A746" s="4" t="s">
        <v>2431</v>
      </c>
      <c r="B746" t="str">
        <f xml:space="preserve"> "" &amp; 706411051098</f>
        <v>706411051098</v>
      </c>
      <c r="C746" t="s">
        <v>2421</v>
      </c>
      <c r="D746" t="s">
        <v>2422</v>
      </c>
      <c r="E746" t="s">
        <v>2423</v>
      </c>
      <c r="F746" t="s">
        <v>2113</v>
      </c>
      <c r="G746">
        <v>1</v>
      </c>
      <c r="H746">
        <v>1</v>
      </c>
      <c r="I746" t="s">
        <v>97</v>
      </c>
      <c r="J746" s="32">
        <v>79.95</v>
      </c>
      <c r="K746" s="32">
        <v>239.85</v>
      </c>
      <c r="L746">
        <v>0</v>
      </c>
      <c r="N746">
        <v>0</v>
      </c>
      <c r="Q746" t="s">
        <v>291</v>
      </c>
      <c r="R746" s="32">
        <v>149.94999999999999</v>
      </c>
      <c r="S746">
        <v>13.5</v>
      </c>
      <c r="T746">
        <v>52</v>
      </c>
      <c r="U746">
        <v>52</v>
      </c>
      <c r="W746">
        <v>18.25</v>
      </c>
      <c r="X746">
        <v>1</v>
      </c>
      <c r="Y746">
        <v>11.75</v>
      </c>
      <c r="Z746">
        <v>25.13</v>
      </c>
      <c r="AA746">
        <v>14</v>
      </c>
      <c r="AB746">
        <v>2.3919999999999999</v>
      </c>
      <c r="AC746">
        <v>21.94</v>
      </c>
      <c r="AE746">
        <v>3</v>
      </c>
      <c r="AF746" t="s">
        <v>2432</v>
      </c>
      <c r="AG746">
        <v>60</v>
      </c>
      <c r="AK746" t="s">
        <v>291</v>
      </c>
      <c r="AM746" t="s">
        <v>98</v>
      </c>
      <c r="AN746" t="s">
        <v>291</v>
      </c>
      <c r="AO746" t="s">
        <v>98</v>
      </c>
      <c r="AP746" t="s">
        <v>99</v>
      </c>
      <c r="AQ746" t="s">
        <v>102</v>
      </c>
      <c r="AV746" t="s">
        <v>98</v>
      </c>
      <c r="AX746" t="s">
        <v>245</v>
      </c>
      <c r="AZ746" t="s">
        <v>2118</v>
      </c>
      <c r="BB746" t="s">
        <v>106</v>
      </c>
      <c r="BC746" t="s">
        <v>2351</v>
      </c>
      <c r="BF746" t="s">
        <v>2433</v>
      </c>
      <c r="BG746" t="s">
        <v>98</v>
      </c>
      <c r="BH746" t="s">
        <v>98</v>
      </c>
      <c r="BI746" t="s">
        <v>98</v>
      </c>
      <c r="BK746" t="s">
        <v>138</v>
      </c>
      <c r="BX746" t="s">
        <v>2206</v>
      </c>
      <c r="BY746" t="s">
        <v>291</v>
      </c>
      <c r="BZ746" t="s">
        <v>2426</v>
      </c>
      <c r="CA746" t="s">
        <v>2427</v>
      </c>
      <c r="CB746" t="s">
        <v>245</v>
      </c>
      <c r="CC746">
        <v>168</v>
      </c>
      <c r="CD746">
        <v>0.53</v>
      </c>
      <c r="CE746">
        <v>62.6</v>
      </c>
      <c r="CF746">
        <v>5138</v>
      </c>
      <c r="CL746" t="s">
        <v>98</v>
      </c>
      <c r="CM746" t="s">
        <v>98</v>
      </c>
      <c r="CO746" s="1">
        <v>41939</v>
      </c>
      <c r="CP746" s="1">
        <v>43595</v>
      </c>
    </row>
    <row r="747" spans="1:94" x14ac:dyDescent="0.25">
      <c r="A747" s="4" t="s">
        <v>2434</v>
      </c>
      <c r="B747" t="str">
        <f xml:space="preserve"> "" &amp; 706411051074</f>
        <v>706411051074</v>
      </c>
      <c r="C747" t="s">
        <v>2421</v>
      </c>
      <c r="D747" t="s">
        <v>2422</v>
      </c>
      <c r="E747" t="s">
        <v>2423</v>
      </c>
      <c r="F747" t="s">
        <v>2113</v>
      </c>
      <c r="G747">
        <v>1</v>
      </c>
      <c r="H747">
        <v>1</v>
      </c>
      <c r="I747" t="s">
        <v>97</v>
      </c>
      <c r="J747" s="32">
        <v>79.95</v>
      </c>
      <c r="K747" s="32">
        <v>239.85</v>
      </c>
      <c r="L747">
        <v>0</v>
      </c>
      <c r="N747">
        <v>0</v>
      </c>
      <c r="Q747" t="s">
        <v>291</v>
      </c>
      <c r="R747" s="32">
        <v>149.94999999999999</v>
      </c>
      <c r="S747">
        <v>13.5</v>
      </c>
      <c r="T747">
        <v>52</v>
      </c>
      <c r="U747">
        <v>52</v>
      </c>
      <c r="W747">
        <v>18.25</v>
      </c>
      <c r="X747">
        <v>1</v>
      </c>
      <c r="Y747">
        <v>11.75</v>
      </c>
      <c r="Z747">
        <v>25.13</v>
      </c>
      <c r="AA747">
        <v>14</v>
      </c>
      <c r="AB747">
        <v>2.3919999999999999</v>
      </c>
      <c r="AC747">
        <v>21.94</v>
      </c>
      <c r="AE747">
        <v>3</v>
      </c>
      <c r="AF747" t="s">
        <v>2435</v>
      </c>
      <c r="AG747">
        <v>60</v>
      </c>
      <c r="AK747" t="s">
        <v>291</v>
      </c>
      <c r="AM747" t="s">
        <v>98</v>
      </c>
      <c r="AN747" t="s">
        <v>291</v>
      </c>
      <c r="AO747" t="s">
        <v>98</v>
      </c>
      <c r="AP747" t="s">
        <v>99</v>
      </c>
      <c r="AQ747" t="s">
        <v>102</v>
      </c>
      <c r="AV747" t="s">
        <v>98</v>
      </c>
      <c r="AX747" t="s">
        <v>302</v>
      </c>
      <c r="AZ747" t="s">
        <v>2118</v>
      </c>
      <c r="BB747" t="s">
        <v>106</v>
      </c>
      <c r="BC747" t="s">
        <v>2436</v>
      </c>
      <c r="BF747" t="s">
        <v>2437</v>
      </c>
      <c r="BG747" t="s">
        <v>98</v>
      </c>
      <c r="BH747" t="s">
        <v>98</v>
      </c>
      <c r="BI747" t="s">
        <v>98</v>
      </c>
      <c r="BK747" t="s">
        <v>138</v>
      </c>
      <c r="BX747" t="s">
        <v>2206</v>
      </c>
      <c r="BY747" t="s">
        <v>291</v>
      </c>
      <c r="BZ747" t="s">
        <v>2147</v>
      </c>
      <c r="CA747" t="s">
        <v>2427</v>
      </c>
      <c r="CB747" t="s">
        <v>302</v>
      </c>
      <c r="CC747">
        <v>168</v>
      </c>
      <c r="CD747">
        <v>0.53</v>
      </c>
      <c r="CE747">
        <v>62.6</v>
      </c>
      <c r="CF747">
        <v>5138</v>
      </c>
      <c r="CL747" t="s">
        <v>98</v>
      </c>
      <c r="CM747" t="s">
        <v>98</v>
      </c>
      <c r="CO747" s="1">
        <v>41939</v>
      </c>
      <c r="CP747" s="1">
        <v>43595</v>
      </c>
    </row>
    <row r="748" spans="1:94" x14ac:dyDescent="0.25">
      <c r="A748" s="4" t="s">
        <v>2438</v>
      </c>
      <c r="B748" t="str">
        <f xml:space="preserve"> "" &amp; 706411056161</f>
        <v>706411056161</v>
      </c>
      <c r="C748" t="s">
        <v>2439</v>
      </c>
      <c r="D748" t="s">
        <v>2440</v>
      </c>
      <c r="E748" t="s">
        <v>2441</v>
      </c>
      <c r="F748" t="s">
        <v>2113</v>
      </c>
      <c r="G748">
        <v>1</v>
      </c>
      <c r="H748">
        <v>1</v>
      </c>
      <c r="I748" t="s">
        <v>97</v>
      </c>
      <c r="J748" s="32">
        <v>109.95</v>
      </c>
      <c r="K748" s="32">
        <v>329.85</v>
      </c>
      <c r="L748">
        <v>0</v>
      </c>
      <c r="N748">
        <v>0</v>
      </c>
      <c r="Q748" t="s">
        <v>291</v>
      </c>
      <c r="R748" s="32">
        <v>199.95</v>
      </c>
      <c r="S748">
        <v>15.25</v>
      </c>
      <c r="T748">
        <v>54</v>
      </c>
      <c r="U748">
        <v>54</v>
      </c>
      <c r="W748">
        <v>19.91</v>
      </c>
      <c r="X748">
        <v>1</v>
      </c>
      <c r="Y748">
        <v>10.63</v>
      </c>
      <c r="Z748">
        <v>26.63</v>
      </c>
      <c r="AA748">
        <v>14.38</v>
      </c>
      <c r="AB748">
        <v>2.3559999999999999</v>
      </c>
      <c r="AC748">
        <v>22.84</v>
      </c>
      <c r="AE748">
        <v>1</v>
      </c>
      <c r="AF748" t="s">
        <v>2141</v>
      </c>
      <c r="AG748">
        <v>17</v>
      </c>
      <c r="AK748" t="s">
        <v>291</v>
      </c>
      <c r="AM748" t="s">
        <v>98</v>
      </c>
      <c r="AN748" t="s">
        <v>98</v>
      </c>
      <c r="AO748" t="s">
        <v>291</v>
      </c>
      <c r="AP748" t="s">
        <v>99</v>
      </c>
      <c r="AQ748" t="s">
        <v>102</v>
      </c>
      <c r="AV748" t="s">
        <v>98</v>
      </c>
      <c r="AX748" t="s">
        <v>150</v>
      </c>
      <c r="AZ748" t="s">
        <v>535</v>
      </c>
      <c r="BB748" t="s">
        <v>106</v>
      </c>
      <c r="BC748" t="s">
        <v>2152</v>
      </c>
      <c r="BF748" t="s">
        <v>2442</v>
      </c>
      <c r="BG748" t="s">
        <v>98</v>
      </c>
      <c r="BH748" t="s">
        <v>98</v>
      </c>
      <c r="BI748" t="s">
        <v>98</v>
      </c>
      <c r="BK748" t="s">
        <v>138</v>
      </c>
      <c r="BU748">
        <v>6</v>
      </c>
      <c r="BW748">
        <v>0.75</v>
      </c>
      <c r="BX748" t="s">
        <v>2443</v>
      </c>
      <c r="BY748" t="s">
        <v>291</v>
      </c>
      <c r="BZ748" t="s">
        <v>441</v>
      </c>
      <c r="CA748" t="s">
        <v>2444</v>
      </c>
      <c r="CB748" t="s">
        <v>150</v>
      </c>
      <c r="CC748">
        <v>161</v>
      </c>
      <c r="CD748">
        <v>0.54</v>
      </c>
      <c r="CE748">
        <v>65.010000000000005</v>
      </c>
      <c r="CF748">
        <v>5198</v>
      </c>
      <c r="CG748">
        <v>3000</v>
      </c>
      <c r="CH748">
        <v>83</v>
      </c>
      <c r="CI748">
        <v>1566</v>
      </c>
      <c r="CJ748">
        <v>798</v>
      </c>
      <c r="CK748">
        <v>30000</v>
      </c>
      <c r="CL748" t="s">
        <v>291</v>
      </c>
      <c r="CM748" t="s">
        <v>291</v>
      </c>
      <c r="CN748" t="s">
        <v>2445</v>
      </c>
      <c r="CO748" s="1">
        <v>42748</v>
      </c>
      <c r="CP748" s="1">
        <v>43595</v>
      </c>
    </row>
    <row r="749" spans="1:94" x14ac:dyDescent="0.25">
      <c r="A749" s="4" t="s">
        <v>2446</v>
      </c>
      <c r="B749" t="str">
        <f xml:space="preserve"> "" &amp; 706411056185</f>
        <v>706411056185</v>
      </c>
      <c r="C749" t="s">
        <v>2439</v>
      </c>
      <c r="D749" t="s">
        <v>2440</v>
      </c>
      <c r="E749" t="s">
        <v>2441</v>
      </c>
      <c r="F749" t="s">
        <v>2113</v>
      </c>
      <c r="G749">
        <v>1</v>
      </c>
      <c r="H749">
        <v>1</v>
      </c>
      <c r="I749" t="s">
        <v>97</v>
      </c>
      <c r="J749" s="32">
        <v>109.95</v>
      </c>
      <c r="K749" s="32">
        <v>329.85</v>
      </c>
      <c r="L749">
        <v>0</v>
      </c>
      <c r="N749">
        <v>0</v>
      </c>
      <c r="Q749" t="s">
        <v>291</v>
      </c>
      <c r="R749" s="32">
        <v>199.95</v>
      </c>
      <c r="S749">
        <v>15.25</v>
      </c>
      <c r="T749">
        <v>54</v>
      </c>
      <c r="U749">
        <v>54</v>
      </c>
      <c r="W749">
        <v>19.91</v>
      </c>
      <c r="X749">
        <v>1</v>
      </c>
      <c r="Y749">
        <v>10.63</v>
      </c>
      <c r="Z749">
        <v>26.63</v>
      </c>
      <c r="AA749">
        <v>14.38</v>
      </c>
      <c r="AB749">
        <v>2.3559999999999999</v>
      </c>
      <c r="AC749">
        <v>22.84</v>
      </c>
      <c r="AE749">
        <v>1</v>
      </c>
      <c r="AF749" t="s">
        <v>2141</v>
      </c>
      <c r="AG749">
        <v>17</v>
      </c>
      <c r="AK749" t="s">
        <v>291</v>
      </c>
      <c r="AM749" t="s">
        <v>98</v>
      </c>
      <c r="AN749" t="s">
        <v>98</v>
      </c>
      <c r="AO749" t="s">
        <v>291</v>
      </c>
      <c r="AP749" t="s">
        <v>99</v>
      </c>
      <c r="AQ749" t="s">
        <v>102</v>
      </c>
      <c r="AV749" t="s">
        <v>98</v>
      </c>
      <c r="AX749" t="s">
        <v>245</v>
      </c>
      <c r="AZ749" t="s">
        <v>109</v>
      </c>
      <c r="BB749" t="s">
        <v>106</v>
      </c>
      <c r="BC749" t="s">
        <v>2152</v>
      </c>
      <c r="BF749" t="s">
        <v>2447</v>
      </c>
      <c r="BG749" t="s">
        <v>98</v>
      </c>
      <c r="BH749" t="s">
        <v>98</v>
      </c>
      <c r="BI749" t="s">
        <v>98</v>
      </c>
      <c r="BK749" t="s">
        <v>138</v>
      </c>
      <c r="BU749">
        <v>6</v>
      </c>
      <c r="BW749">
        <v>0.75</v>
      </c>
      <c r="BX749" t="s">
        <v>2443</v>
      </c>
      <c r="BY749" t="s">
        <v>291</v>
      </c>
      <c r="BZ749" t="s">
        <v>2448</v>
      </c>
      <c r="CA749" t="s">
        <v>2444</v>
      </c>
      <c r="CB749" t="s">
        <v>245</v>
      </c>
      <c r="CC749">
        <v>161</v>
      </c>
      <c r="CD749">
        <v>0.54</v>
      </c>
      <c r="CE749">
        <v>0.54</v>
      </c>
      <c r="CF749">
        <v>65.010000000000005</v>
      </c>
      <c r="CG749">
        <v>3000</v>
      </c>
      <c r="CH749">
        <v>80</v>
      </c>
      <c r="CJ749">
        <v>1100</v>
      </c>
      <c r="CK749">
        <v>30000</v>
      </c>
      <c r="CL749" t="s">
        <v>291</v>
      </c>
      <c r="CM749" t="s">
        <v>291</v>
      </c>
      <c r="CN749" t="s">
        <v>2445</v>
      </c>
      <c r="CO749" s="1">
        <v>42738</v>
      </c>
      <c r="CP749" s="1">
        <v>43595</v>
      </c>
    </row>
    <row r="750" spans="1:94" x14ac:dyDescent="0.25">
      <c r="A750" s="4" t="s">
        <v>2449</v>
      </c>
      <c r="B750" t="str">
        <f xml:space="preserve"> "" &amp; 706411056178</f>
        <v>706411056178</v>
      </c>
      <c r="C750" t="s">
        <v>2439</v>
      </c>
      <c r="D750" t="s">
        <v>2440</v>
      </c>
      <c r="E750" t="s">
        <v>2441</v>
      </c>
      <c r="F750" t="s">
        <v>2113</v>
      </c>
      <c r="G750">
        <v>1</v>
      </c>
      <c r="H750">
        <v>1</v>
      </c>
      <c r="I750" t="s">
        <v>97</v>
      </c>
      <c r="J750" s="32">
        <v>109.95</v>
      </c>
      <c r="K750" s="32">
        <v>329.85</v>
      </c>
      <c r="L750">
        <v>0</v>
      </c>
      <c r="N750">
        <v>0</v>
      </c>
      <c r="Q750" t="s">
        <v>291</v>
      </c>
      <c r="R750" s="32">
        <v>199.95</v>
      </c>
      <c r="S750">
        <v>15.25</v>
      </c>
      <c r="T750">
        <v>54</v>
      </c>
      <c r="U750">
        <v>54</v>
      </c>
      <c r="W750">
        <v>19.91</v>
      </c>
      <c r="X750">
        <v>1</v>
      </c>
      <c r="Y750">
        <v>10.63</v>
      </c>
      <c r="Z750">
        <v>26.63</v>
      </c>
      <c r="AA750">
        <v>14.38</v>
      </c>
      <c r="AB750">
        <v>2.3559999999999999</v>
      </c>
      <c r="AC750">
        <v>22.84</v>
      </c>
      <c r="AE750">
        <v>1</v>
      </c>
      <c r="AF750" t="s">
        <v>2141</v>
      </c>
      <c r="AG750">
        <v>17</v>
      </c>
      <c r="AK750" t="s">
        <v>291</v>
      </c>
      <c r="AM750" t="s">
        <v>98</v>
      </c>
      <c r="AN750" t="s">
        <v>98</v>
      </c>
      <c r="AO750" t="s">
        <v>291</v>
      </c>
      <c r="AP750" t="s">
        <v>99</v>
      </c>
      <c r="AQ750" t="s">
        <v>102</v>
      </c>
      <c r="AV750" t="s">
        <v>98</v>
      </c>
      <c r="AX750" t="s">
        <v>302</v>
      </c>
      <c r="AZ750" t="s">
        <v>535</v>
      </c>
      <c r="BB750" t="s">
        <v>106</v>
      </c>
      <c r="BC750" t="s">
        <v>2152</v>
      </c>
      <c r="BF750" t="s">
        <v>2450</v>
      </c>
      <c r="BG750" t="s">
        <v>98</v>
      </c>
      <c r="BH750" t="s">
        <v>98</v>
      </c>
      <c r="BI750" t="s">
        <v>98</v>
      </c>
      <c r="BK750" t="s">
        <v>138</v>
      </c>
      <c r="BU750">
        <v>6</v>
      </c>
      <c r="BW750">
        <v>0.75</v>
      </c>
      <c r="BX750" t="s">
        <v>2443</v>
      </c>
      <c r="BY750" t="s">
        <v>291</v>
      </c>
      <c r="BZ750" t="s">
        <v>302</v>
      </c>
      <c r="CA750" t="s">
        <v>2444</v>
      </c>
      <c r="CB750" t="s">
        <v>302</v>
      </c>
      <c r="CC750">
        <v>161</v>
      </c>
      <c r="CD750">
        <v>0.54</v>
      </c>
      <c r="CE750">
        <v>65.010000000000005</v>
      </c>
      <c r="CF750">
        <v>5198</v>
      </c>
      <c r="CG750">
        <v>3000</v>
      </c>
      <c r="CH750">
        <v>80</v>
      </c>
      <c r="CJ750">
        <v>1100</v>
      </c>
      <c r="CK750">
        <v>30000</v>
      </c>
      <c r="CL750" t="s">
        <v>291</v>
      </c>
      <c r="CM750" t="s">
        <v>291</v>
      </c>
      <c r="CN750" t="s">
        <v>2445</v>
      </c>
      <c r="CO750" s="1">
        <v>42748</v>
      </c>
      <c r="CP750" s="1">
        <v>43595</v>
      </c>
    </row>
    <row r="751" spans="1:94" x14ac:dyDescent="0.25">
      <c r="A751" s="4" t="s">
        <v>2451</v>
      </c>
      <c r="B751" t="str">
        <f xml:space="preserve"> "" &amp; 706411032479</f>
        <v>706411032479</v>
      </c>
      <c r="C751" t="s">
        <v>2452</v>
      </c>
      <c r="D751" t="s">
        <v>2453</v>
      </c>
      <c r="E751" t="s">
        <v>2454</v>
      </c>
      <c r="F751" t="s">
        <v>2113</v>
      </c>
      <c r="G751">
        <v>1</v>
      </c>
      <c r="H751">
        <v>1</v>
      </c>
      <c r="I751" t="s">
        <v>97</v>
      </c>
      <c r="J751" s="32">
        <v>289.95</v>
      </c>
      <c r="K751" s="32">
        <v>869.85</v>
      </c>
      <c r="L751">
        <v>0</v>
      </c>
      <c r="N751">
        <v>0</v>
      </c>
      <c r="Q751" t="s">
        <v>291</v>
      </c>
      <c r="R751" s="32">
        <v>519.95000000000005</v>
      </c>
      <c r="S751">
        <v>12.75</v>
      </c>
      <c r="T751">
        <v>72</v>
      </c>
      <c r="U751">
        <v>72</v>
      </c>
      <c r="W751">
        <v>35.49</v>
      </c>
      <c r="X751">
        <v>1</v>
      </c>
      <c r="Y751">
        <v>11.75</v>
      </c>
      <c r="Z751">
        <v>30.75</v>
      </c>
      <c r="AA751">
        <v>16.13</v>
      </c>
      <c r="AB751">
        <v>3.3730000000000002</v>
      </c>
      <c r="AC751">
        <v>41.01</v>
      </c>
      <c r="AK751" t="s">
        <v>98</v>
      </c>
      <c r="AM751" t="s">
        <v>98</v>
      </c>
      <c r="AN751" t="s">
        <v>291</v>
      </c>
      <c r="AO751" t="s">
        <v>98</v>
      </c>
      <c r="AP751" t="s">
        <v>99</v>
      </c>
      <c r="AQ751" t="s">
        <v>102</v>
      </c>
      <c r="AV751" t="s">
        <v>98</v>
      </c>
      <c r="AX751" t="s">
        <v>136</v>
      </c>
      <c r="AZ751" t="s">
        <v>2235</v>
      </c>
      <c r="BC751" t="s">
        <v>2408</v>
      </c>
      <c r="BF751" t="s">
        <v>2455</v>
      </c>
      <c r="BG751" t="s">
        <v>98</v>
      </c>
      <c r="BH751" t="s">
        <v>98</v>
      </c>
      <c r="BI751" t="s">
        <v>98</v>
      </c>
      <c r="BK751" t="s">
        <v>138</v>
      </c>
      <c r="BU751">
        <v>6</v>
      </c>
      <c r="BW751">
        <v>0.75</v>
      </c>
      <c r="BX751" t="s">
        <v>2218</v>
      </c>
      <c r="BY751" t="s">
        <v>98</v>
      </c>
      <c r="BZ751" t="s">
        <v>2456</v>
      </c>
      <c r="CA751" t="s">
        <v>2457</v>
      </c>
      <c r="CB751" t="s">
        <v>136</v>
      </c>
      <c r="CC751">
        <v>134</v>
      </c>
      <c r="CD751">
        <v>0.89800000000000002</v>
      </c>
      <c r="CE751">
        <v>104</v>
      </c>
      <c r="CF751">
        <v>10659</v>
      </c>
      <c r="CL751" t="s">
        <v>98</v>
      </c>
      <c r="CM751" t="s">
        <v>291</v>
      </c>
      <c r="CN751" t="s">
        <v>2458</v>
      </c>
      <c r="CO751" s="1">
        <v>39157</v>
      </c>
      <c r="CP751" s="1">
        <v>43595</v>
      </c>
    </row>
    <row r="752" spans="1:94" x14ac:dyDescent="0.25">
      <c r="A752" s="4" t="s">
        <v>2459</v>
      </c>
      <c r="B752" t="str">
        <f xml:space="preserve"> "" &amp; 706411032486</f>
        <v>706411032486</v>
      </c>
      <c r="C752" t="s">
        <v>2452</v>
      </c>
      <c r="D752" t="s">
        <v>2453</v>
      </c>
      <c r="E752" t="s">
        <v>2454</v>
      </c>
      <c r="F752" t="s">
        <v>2113</v>
      </c>
      <c r="G752">
        <v>1</v>
      </c>
      <c r="H752">
        <v>1</v>
      </c>
      <c r="I752" t="s">
        <v>97</v>
      </c>
      <c r="J752" s="32">
        <v>289.95</v>
      </c>
      <c r="K752" s="32">
        <v>869.85</v>
      </c>
      <c r="L752">
        <v>0</v>
      </c>
      <c r="N752">
        <v>0</v>
      </c>
      <c r="Q752" t="s">
        <v>291</v>
      </c>
      <c r="R752" s="32">
        <v>519.95000000000005</v>
      </c>
      <c r="S752">
        <v>12.75</v>
      </c>
      <c r="T752">
        <v>72</v>
      </c>
      <c r="U752">
        <v>72</v>
      </c>
      <c r="W752">
        <v>35.49</v>
      </c>
      <c r="X752">
        <v>1</v>
      </c>
      <c r="Y752">
        <v>11.75</v>
      </c>
      <c r="Z752">
        <v>30.75</v>
      </c>
      <c r="AA752">
        <v>16.13</v>
      </c>
      <c r="AB752">
        <v>3.3730000000000002</v>
      </c>
      <c r="AC752">
        <v>41.01</v>
      </c>
      <c r="AK752" t="s">
        <v>98</v>
      </c>
      <c r="AM752" t="s">
        <v>98</v>
      </c>
      <c r="AN752" t="s">
        <v>291</v>
      </c>
      <c r="AO752" t="s">
        <v>98</v>
      </c>
      <c r="AP752" t="s">
        <v>99</v>
      </c>
      <c r="AQ752" t="s">
        <v>102</v>
      </c>
      <c r="AV752" t="s">
        <v>98</v>
      </c>
      <c r="AX752" t="s">
        <v>150</v>
      </c>
      <c r="AZ752" t="s">
        <v>2235</v>
      </c>
      <c r="BC752" t="s">
        <v>485</v>
      </c>
      <c r="BF752" t="s">
        <v>2460</v>
      </c>
      <c r="BG752" t="s">
        <v>98</v>
      </c>
      <c r="BH752" t="s">
        <v>98</v>
      </c>
      <c r="BI752" t="s">
        <v>98</v>
      </c>
      <c r="BK752" t="s">
        <v>138</v>
      </c>
      <c r="BU752">
        <v>6</v>
      </c>
      <c r="BW752">
        <v>0.75</v>
      </c>
      <c r="BX752" t="s">
        <v>2218</v>
      </c>
      <c r="BY752" t="s">
        <v>98</v>
      </c>
      <c r="BZ752" t="s">
        <v>2456</v>
      </c>
      <c r="CA752" t="s">
        <v>2457</v>
      </c>
      <c r="CB752" t="s">
        <v>150</v>
      </c>
      <c r="CC752">
        <v>134</v>
      </c>
      <c r="CD752">
        <v>0.89800000000000002</v>
      </c>
      <c r="CE752">
        <v>104</v>
      </c>
      <c r="CF752">
        <v>10659</v>
      </c>
      <c r="CL752" t="s">
        <v>98</v>
      </c>
      <c r="CM752" t="s">
        <v>291</v>
      </c>
      <c r="CN752" t="s">
        <v>2458</v>
      </c>
      <c r="CO752" s="1">
        <v>39157</v>
      </c>
      <c r="CP752" s="1">
        <v>43595</v>
      </c>
    </row>
    <row r="753" spans="1:94" x14ac:dyDescent="0.25">
      <c r="A753" s="4" t="s">
        <v>2461</v>
      </c>
      <c r="B753" t="str">
        <f xml:space="preserve"> "" &amp; 706411056468</f>
        <v>706411056468</v>
      </c>
      <c r="C753" t="s">
        <v>2452</v>
      </c>
      <c r="D753" t="s">
        <v>2453</v>
      </c>
      <c r="E753" t="s">
        <v>2454</v>
      </c>
      <c r="F753" t="s">
        <v>2113</v>
      </c>
      <c r="G753">
        <v>1</v>
      </c>
      <c r="H753">
        <v>1</v>
      </c>
      <c r="I753" t="s">
        <v>97</v>
      </c>
      <c r="J753" s="32">
        <v>289.95</v>
      </c>
      <c r="K753" s="32">
        <v>869.85</v>
      </c>
      <c r="L753">
        <v>0</v>
      </c>
      <c r="N753">
        <v>0</v>
      </c>
      <c r="Q753" t="s">
        <v>291</v>
      </c>
      <c r="R753" s="32">
        <v>519.95000000000005</v>
      </c>
      <c r="S753">
        <v>12.75</v>
      </c>
      <c r="T753">
        <v>72</v>
      </c>
      <c r="U753">
        <v>72</v>
      </c>
      <c r="W753">
        <v>35.49</v>
      </c>
      <c r="X753">
        <v>1</v>
      </c>
      <c r="Y753">
        <v>11.75</v>
      </c>
      <c r="Z753">
        <v>30.75</v>
      </c>
      <c r="AA753">
        <v>16.13</v>
      </c>
      <c r="AB753">
        <v>3.3730000000000002</v>
      </c>
      <c r="AC753">
        <v>41.01</v>
      </c>
      <c r="AK753" t="s">
        <v>98</v>
      </c>
      <c r="AM753" t="s">
        <v>98</v>
      </c>
      <c r="AN753" t="s">
        <v>98</v>
      </c>
      <c r="AO753" t="s">
        <v>98</v>
      </c>
      <c r="AP753" t="s">
        <v>99</v>
      </c>
      <c r="AQ753" t="s">
        <v>102</v>
      </c>
      <c r="AV753" t="s">
        <v>98</v>
      </c>
      <c r="AX753" t="s">
        <v>150</v>
      </c>
      <c r="AZ753" t="s">
        <v>109</v>
      </c>
      <c r="BF753" t="s">
        <v>2462</v>
      </c>
      <c r="BG753" t="s">
        <v>98</v>
      </c>
      <c r="BH753" t="s">
        <v>98</v>
      </c>
      <c r="BI753" t="s">
        <v>98</v>
      </c>
      <c r="BK753" t="s">
        <v>138</v>
      </c>
      <c r="BU753">
        <v>3.5</v>
      </c>
      <c r="BV753">
        <v>6</v>
      </c>
      <c r="BW753">
        <v>0.75</v>
      </c>
      <c r="BX753" t="s">
        <v>2206</v>
      </c>
      <c r="BZ753" t="s">
        <v>2463</v>
      </c>
      <c r="CA753" t="s">
        <v>2457</v>
      </c>
      <c r="CB753" t="s">
        <v>150</v>
      </c>
      <c r="CC753">
        <v>134</v>
      </c>
      <c r="CD753">
        <v>0.89800000000000002</v>
      </c>
      <c r="CE753">
        <v>104</v>
      </c>
      <c r="CF753">
        <v>10659</v>
      </c>
      <c r="CL753" t="s">
        <v>98</v>
      </c>
      <c r="CM753" t="s">
        <v>291</v>
      </c>
      <c r="CN753" t="s">
        <v>2458</v>
      </c>
      <c r="CO753" s="1">
        <v>42754</v>
      </c>
      <c r="CP753" s="1">
        <v>43595</v>
      </c>
    </row>
    <row r="754" spans="1:94" x14ac:dyDescent="0.25">
      <c r="A754" s="4" t="s">
        <v>2464</v>
      </c>
      <c r="B754" t="str">
        <f xml:space="preserve"> "" &amp; 706411056451</f>
        <v>706411056451</v>
      </c>
      <c r="C754" t="s">
        <v>2452</v>
      </c>
      <c r="D754" t="s">
        <v>2453</v>
      </c>
      <c r="E754" t="s">
        <v>2454</v>
      </c>
      <c r="F754" t="s">
        <v>2113</v>
      </c>
      <c r="G754">
        <v>1</v>
      </c>
      <c r="H754">
        <v>1</v>
      </c>
      <c r="I754" t="s">
        <v>97</v>
      </c>
      <c r="J754" s="32">
        <v>289.95</v>
      </c>
      <c r="K754" s="32">
        <v>869.85</v>
      </c>
      <c r="L754">
        <v>0</v>
      </c>
      <c r="N754">
        <v>0</v>
      </c>
      <c r="Q754" t="s">
        <v>291</v>
      </c>
      <c r="R754" s="32">
        <v>519.95000000000005</v>
      </c>
      <c r="S754">
        <v>12.75</v>
      </c>
      <c r="T754">
        <v>72</v>
      </c>
      <c r="U754">
        <v>72</v>
      </c>
      <c r="W754">
        <v>35.49</v>
      </c>
      <c r="X754">
        <v>1</v>
      </c>
      <c r="Y754">
        <v>11.75</v>
      </c>
      <c r="Z754">
        <v>30.75</v>
      </c>
      <c r="AA754">
        <v>16.13</v>
      </c>
      <c r="AB754">
        <v>3.3730000000000002</v>
      </c>
      <c r="AC754">
        <v>41.01</v>
      </c>
      <c r="AK754" t="s">
        <v>98</v>
      </c>
      <c r="AM754" t="s">
        <v>98</v>
      </c>
      <c r="AN754" t="s">
        <v>291</v>
      </c>
      <c r="AO754" t="s">
        <v>98</v>
      </c>
      <c r="AP754" t="s">
        <v>99</v>
      </c>
      <c r="AQ754" t="s">
        <v>102</v>
      </c>
      <c r="AV754" t="s">
        <v>98</v>
      </c>
      <c r="AX754" t="s">
        <v>209</v>
      </c>
      <c r="AZ754" t="s">
        <v>109</v>
      </c>
      <c r="BF754" t="s">
        <v>2465</v>
      </c>
      <c r="BG754" t="s">
        <v>98</v>
      </c>
      <c r="BH754" t="s">
        <v>98</v>
      </c>
      <c r="BI754" t="s">
        <v>98</v>
      </c>
      <c r="BK754" t="s">
        <v>138</v>
      </c>
      <c r="BU754">
        <v>6</v>
      </c>
      <c r="BW754">
        <v>0.75</v>
      </c>
      <c r="BX754" t="s">
        <v>2206</v>
      </c>
      <c r="BZ754" t="s">
        <v>2466</v>
      </c>
      <c r="CA754" t="s">
        <v>2457</v>
      </c>
      <c r="CB754" t="s">
        <v>209</v>
      </c>
      <c r="CC754">
        <v>134</v>
      </c>
      <c r="CD754">
        <v>0.89800000000000002</v>
      </c>
      <c r="CE754">
        <v>104</v>
      </c>
      <c r="CF754">
        <v>10659</v>
      </c>
      <c r="CL754" t="s">
        <v>291</v>
      </c>
      <c r="CM754" t="s">
        <v>291</v>
      </c>
      <c r="CN754" t="s">
        <v>2467</v>
      </c>
      <c r="CO754" s="1">
        <v>42754</v>
      </c>
      <c r="CP754" s="1">
        <v>43595</v>
      </c>
    </row>
    <row r="755" spans="1:94" x14ac:dyDescent="0.25">
      <c r="A755" s="4" t="s">
        <v>2468</v>
      </c>
      <c r="B755" t="str">
        <f xml:space="preserve"> "" &amp; 706411034367</f>
        <v>706411034367</v>
      </c>
      <c r="C755" t="s">
        <v>2452</v>
      </c>
      <c r="D755" t="s">
        <v>2453</v>
      </c>
      <c r="E755" t="s">
        <v>2454</v>
      </c>
      <c r="F755" t="s">
        <v>2113</v>
      </c>
      <c r="G755">
        <v>1</v>
      </c>
      <c r="H755">
        <v>1</v>
      </c>
      <c r="I755" t="s">
        <v>97</v>
      </c>
      <c r="J755" s="32">
        <v>289.95</v>
      </c>
      <c r="K755" s="32">
        <v>869.85</v>
      </c>
      <c r="L755">
        <v>0</v>
      </c>
      <c r="N755">
        <v>0</v>
      </c>
      <c r="Q755" t="s">
        <v>291</v>
      </c>
      <c r="R755" s="32">
        <v>519.95000000000005</v>
      </c>
      <c r="S755">
        <v>12.75</v>
      </c>
      <c r="T755">
        <v>72</v>
      </c>
      <c r="U755">
        <v>72</v>
      </c>
      <c r="W755">
        <v>35.49</v>
      </c>
      <c r="X755">
        <v>1</v>
      </c>
      <c r="Y755">
        <v>11.75</v>
      </c>
      <c r="Z755">
        <v>30.75</v>
      </c>
      <c r="AA755">
        <v>16.13</v>
      </c>
      <c r="AB755">
        <v>3.3730000000000002</v>
      </c>
      <c r="AC755">
        <v>41.01</v>
      </c>
      <c r="AK755" t="s">
        <v>98</v>
      </c>
      <c r="AM755" t="s">
        <v>98</v>
      </c>
      <c r="AN755" t="s">
        <v>291</v>
      </c>
      <c r="AO755" t="s">
        <v>98</v>
      </c>
      <c r="AP755" t="s">
        <v>99</v>
      </c>
      <c r="AQ755" t="s">
        <v>102</v>
      </c>
      <c r="AV755" t="s">
        <v>98</v>
      </c>
      <c r="AX755" t="s">
        <v>245</v>
      </c>
      <c r="AZ755" t="s">
        <v>2235</v>
      </c>
      <c r="BC755" t="s">
        <v>485</v>
      </c>
      <c r="BF755" t="s">
        <v>2469</v>
      </c>
      <c r="BG755" t="s">
        <v>98</v>
      </c>
      <c r="BH755" t="s">
        <v>98</v>
      </c>
      <c r="BI755" t="s">
        <v>98</v>
      </c>
      <c r="BK755" t="s">
        <v>138</v>
      </c>
      <c r="BU755">
        <v>6</v>
      </c>
      <c r="BW755">
        <v>0.75</v>
      </c>
      <c r="BX755" t="s">
        <v>2218</v>
      </c>
      <c r="BY755" t="s">
        <v>98</v>
      </c>
      <c r="BZ755" t="s">
        <v>2456</v>
      </c>
      <c r="CA755" t="s">
        <v>2457</v>
      </c>
      <c r="CB755" t="s">
        <v>245</v>
      </c>
      <c r="CC755">
        <v>134</v>
      </c>
      <c r="CD755">
        <v>0.89800000000000002</v>
      </c>
      <c r="CE755">
        <v>104</v>
      </c>
      <c r="CF755">
        <v>10659</v>
      </c>
      <c r="CL755" t="s">
        <v>98</v>
      </c>
      <c r="CM755" t="s">
        <v>291</v>
      </c>
      <c r="CN755" t="s">
        <v>2458</v>
      </c>
      <c r="CO755" s="1">
        <v>39510</v>
      </c>
      <c r="CP755" s="1">
        <v>43595</v>
      </c>
    </row>
    <row r="756" spans="1:94" x14ac:dyDescent="0.25">
      <c r="A756" s="4" t="s">
        <v>2470</v>
      </c>
      <c r="B756" t="str">
        <f xml:space="preserve"> "" &amp; 706411058745</f>
        <v>706411058745</v>
      </c>
      <c r="C756" t="s">
        <v>2471</v>
      </c>
      <c r="D756" t="s">
        <v>2472</v>
      </c>
      <c r="E756" t="s">
        <v>2473</v>
      </c>
      <c r="F756" t="s">
        <v>2113</v>
      </c>
      <c r="G756">
        <v>1</v>
      </c>
      <c r="H756">
        <v>1</v>
      </c>
      <c r="I756" t="s">
        <v>97</v>
      </c>
      <c r="J756" s="32">
        <v>239.95</v>
      </c>
      <c r="K756" s="32">
        <v>719.85</v>
      </c>
      <c r="L756">
        <v>0</v>
      </c>
      <c r="N756">
        <v>0</v>
      </c>
      <c r="Q756" t="s">
        <v>291</v>
      </c>
      <c r="R756" s="32">
        <v>479.95</v>
      </c>
      <c r="S756">
        <v>13.75</v>
      </c>
      <c r="T756">
        <v>54</v>
      </c>
      <c r="U756">
        <v>54</v>
      </c>
      <c r="W756">
        <v>13.47</v>
      </c>
      <c r="X756">
        <v>1</v>
      </c>
      <c r="Y756">
        <v>9.75</v>
      </c>
      <c r="Z756">
        <v>27.13</v>
      </c>
      <c r="AA756">
        <v>11.25</v>
      </c>
      <c r="AB756">
        <v>1.722</v>
      </c>
      <c r="AC756">
        <v>16.010000000000002</v>
      </c>
      <c r="AE756">
        <v>1</v>
      </c>
      <c r="AF756" t="s">
        <v>2141</v>
      </c>
      <c r="AG756">
        <v>20</v>
      </c>
      <c r="AK756" t="s">
        <v>291</v>
      </c>
      <c r="AM756" t="s">
        <v>98</v>
      </c>
      <c r="AN756" t="s">
        <v>291</v>
      </c>
      <c r="AO756" t="s">
        <v>98</v>
      </c>
      <c r="AP756" t="s">
        <v>99</v>
      </c>
      <c r="AQ756" t="s">
        <v>102</v>
      </c>
      <c r="AV756" t="s">
        <v>98</v>
      </c>
      <c r="AX756" t="s">
        <v>245</v>
      </c>
      <c r="AZ756" t="s">
        <v>535</v>
      </c>
      <c r="BB756" t="s">
        <v>106</v>
      </c>
      <c r="BC756" t="s">
        <v>302</v>
      </c>
      <c r="BF756" t="s">
        <v>2474</v>
      </c>
      <c r="BG756" t="s">
        <v>98</v>
      </c>
      <c r="BH756" t="s">
        <v>98</v>
      </c>
      <c r="BI756" t="s">
        <v>98</v>
      </c>
      <c r="BJ756" t="s">
        <v>291</v>
      </c>
      <c r="BK756" t="s">
        <v>292</v>
      </c>
      <c r="BU756">
        <v>6</v>
      </c>
      <c r="BW756">
        <v>0.75</v>
      </c>
      <c r="BX756" t="s">
        <v>2206</v>
      </c>
      <c r="BY756" t="s">
        <v>291</v>
      </c>
      <c r="BZ756" t="s">
        <v>2159</v>
      </c>
      <c r="CA756" t="s">
        <v>2475</v>
      </c>
      <c r="CB756" t="s">
        <v>245</v>
      </c>
      <c r="CC756">
        <v>169</v>
      </c>
      <c r="CD756">
        <v>0.57999999999999996</v>
      </c>
      <c r="CE756">
        <v>46.7</v>
      </c>
      <c r="CF756">
        <v>8385</v>
      </c>
      <c r="CG756">
        <v>3000</v>
      </c>
      <c r="CH756">
        <v>97</v>
      </c>
      <c r="CI756">
        <v>1647.2</v>
      </c>
      <c r="CJ756">
        <v>1080.9000000000001</v>
      </c>
      <c r="CK756">
        <v>30000</v>
      </c>
      <c r="CL756" t="s">
        <v>291</v>
      </c>
      <c r="CM756" t="s">
        <v>291</v>
      </c>
      <c r="CN756" t="s">
        <v>2156</v>
      </c>
      <c r="CO756" s="1">
        <v>43069</v>
      </c>
      <c r="CP756" s="1">
        <v>43607</v>
      </c>
    </row>
    <row r="757" spans="1:94" x14ac:dyDescent="0.25">
      <c r="A757" s="4" t="s">
        <v>2476</v>
      </c>
      <c r="B757" t="str">
        <f xml:space="preserve"> "" &amp; 706411059292</f>
        <v>706411059292</v>
      </c>
      <c r="C757" t="s">
        <v>2471</v>
      </c>
      <c r="D757" t="s">
        <v>2472</v>
      </c>
      <c r="E757" t="s">
        <v>2473</v>
      </c>
      <c r="F757" t="s">
        <v>2113</v>
      </c>
      <c r="G757">
        <v>1</v>
      </c>
      <c r="H757">
        <v>1</v>
      </c>
      <c r="I757" t="s">
        <v>97</v>
      </c>
      <c r="J757" s="32">
        <v>239.95</v>
      </c>
      <c r="K757" s="32">
        <v>719.85</v>
      </c>
      <c r="L757">
        <v>0</v>
      </c>
      <c r="N757">
        <v>0</v>
      </c>
      <c r="Q757" t="s">
        <v>291</v>
      </c>
      <c r="R757" s="32">
        <v>479.95</v>
      </c>
      <c r="S757">
        <v>13.75</v>
      </c>
      <c r="T757">
        <v>54</v>
      </c>
      <c r="U757">
        <v>54</v>
      </c>
      <c r="W757">
        <v>13.47</v>
      </c>
      <c r="X757">
        <v>1</v>
      </c>
      <c r="Y757">
        <v>9.75</v>
      </c>
      <c r="Z757">
        <v>27.13</v>
      </c>
      <c r="AA757">
        <v>11.25</v>
      </c>
      <c r="AB757">
        <v>1.722</v>
      </c>
      <c r="AC757">
        <v>16.010000000000002</v>
      </c>
      <c r="AE757">
        <v>1</v>
      </c>
      <c r="AF757" t="s">
        <v>2141</v>
      </c>
      <c r="AG757">
        <v>20</v>
      </c>
      <c r="AK757" t="s">
        <v>291</v>
      </c>
      <c r="AM757" t="s">
        <v>98</v>
      </c>
      <c r="AN757" t="s">
        <v>291</v>
      </c>
      <c r="AO757" t="s">
        <v>98</v>
      </c>
      <c r="AP757" t="s">
        <v>99</v>
      </c>
      <c r="AQ757" t="s">
        <v>102</v>
      </c>
      <c r="AV757" t="s">
        <v>98</v>
      </c>
      <c r="AX757" t="s">
        <v>441</v>
      </c>
      <c r="AZ757" t="s">
        <v>535</v>
      </c>
      <c r="BB757" t="s">
        <v>106</v>
      </c>
      <c r="BC757" t="s">
        <v>302</v>
      </c>
      <c r="BF757" t="s">
        <v>2477</v>
      </c>
      <c r="BG757" t="s">
        <v>98</v>
      </c>
      <c r="BH757" t="s">
        <v>98</v>
      </c>
      <c r="BI757" t="s">
        <v>98</v>
      </c>
      <c r="BJ757" t="s">
        <v>291</v>
      </c>
      <c r="BK757" t="s">
        <v>292</v>
      </c>
      <c r="BU757">
        <v>6</v>
      </c>
      <c r="BW757">
        <v>0.75</v>
      </c>
      <c r="BX757" t="s">
        <v>2206</v>
      </c>
      <c r="BY757" t="s">
        <v>291</v>
      </c>
      <c r="BZ757" t="s">
        <v>441</v>
      </c>
      <c r="CA757" t="s">
        <v>2475</v>
      </c>
      <c r="CB757" t="s">
        <v>441</v>
      </c>
      <c r="CC757">
        <v>169</v>
      </c>
      <c r="CD757">
        <v>0.57999999999999996</v>
      </c>
      <c r="CE757">
        <v>46.7</v>
      </c>
      <c r="CF757">
        <v>8385</v>
      </c>
      <c r="CG757">
        <v>3000</v>
      </c>
      <c r="CH757">
        <v>97</v>
      </c>
      <c r="CI757">
        <v>1647.2</v>
      </c>
      <c r="CJ757">
        <v>1080.9000000000001</v>
      </c>
      <c r="CK757">
        <v>30000</v>
      </c>
      <c r="CL757" t="s">
        <v>291</v>
      </c>
      <c r="CM757" t="s">
        <v>291</v>
      </c>
      <c r="CN757" t="s">
        <v>2156</v>
      </c>
      <c r="CO757" s="1">
        <v>43069</v>
      </c>
      <c r="CP757" s="1">
        <v>43607</v>
      </c>
    </row>
    <row r="758" spans="1:94" x14ac:dyDescent="0.25">
      <c r="A758" s="4" t="s">
        <v>2478</v>
      </c>
      <c r="B758" t="str">
        <f xml:space="preserve"> "" &amp; 706411058738</f>
        <v>706411058738</v>
      </c>
      <c r="C758" t="s">
        <v>2479</v>
      </c>
      <c r="D758" t="s">
        <v>2472</v>
      </c>
      <c r="E758" t="s">
        <v>2473</v>
      </c>
      <c r="F758" t="s">
        <v>2113</v>
      </c>
      <c r="G758">
        <v>1</v>
      </c>
      <c r="H758">
        <v>1</v>
      </c>
      <c r="I758" t="s">
        <v>97</v>
      </c>
      <c r="J758" s="32">
        <v>239.95</v>
      </c>
      <c r="K758" s="32">
        <v>719.85</v>
      </c>
      <c r="L758">
        <v>0</v>
      </c>
      <c r="N758">
        <v>0</v>
      </c>
      <c r="Q758" t="s">
        <v>291</v>
      </c>
      <c r="R758" s="32">
        <v>479.95</v>
      </c>
      <c r="S758">
        <v>13.75</v>
      </c>
      <c r="T758">
        <v>54</v>
      </c>
      <c r="U758">
        <v>54</v>
      </c>
      <c r="W758">
        <v>13.47</v>
      </c>
      <c r="X758">
        <v>1</v>
      </c>
      <c r="Y758">
        <v>9.75</v>
      </c>
      <c r="Z758">
        <v>27.13</v>
      </c>
      <c r="AA758">
        <v>11.25</v>
      </c>
      <c r="AB758">
        <v>1.722</v>
      </c>
      <c r="AC758">
        <v>16.010000000000002</v>
      </c>
      <c r="AE758">
        <v>1</v>
      </c>
      <c r="AF758" t="s">
        <v>2141</v>
      </c>
      <c r="AG758">
        <v>20</v>
      </c>
      <c r="AK758" t="s">
        <v>291</v>
      </c>
      <c r="AM758" t="s">
        <v>98</v>
      </c>
      <c r="AN758" t="s">
        <v>291</v>
      </c>
      <c r="AO758" t="s">
        <v>98</v>
      </c>
      <c r="AP758" t="s">
        <v>99</v>
      </c>
      <c r="AQ758" t="s">
        <v>102</v>
      </c>
      <c r="AV758" t="s">
        <v>98</v>
      </c>
      <c r="AX758" t="s">
        <v>302</v>
      </c>
      <c r="AZ758" t="s">
        <v>535</v>
      </c>
      <c r="BB758" t="s">
        <v>106</v>
      </c>
      <c r="BC758" t="s">
        <v>302</v>
      </c>
      <c r="BF758" t="s">
        <v>2480</v>
      </c>
      <c r="BG758" t="s">
        <v>98</v>
      </c>
      <c r="BH758" t="s">
        <v>98</v>
      </c>
      <c r="BI758" t="s">
        <v>98</v>
      </c>
      <c r="BJ758" t="s">
        <v>291</v>
      </c>
      <c r="BK758" t="s">
        <v>292</v>
      </c>
      <c r="BU758">
        <v>6</v>
      </c>
      <c r="BW758">
        <v>0.75</v>
      </c>
      <c r="BX758" t="s">
        <v>2206</v>
      </c>
      <c r="BY758" t="s">
        <v>291</v>
      </c>
      <c r="BZ758" t="s">
        <v>302</v>
      </c>
      <c r="CA758" t="s">
        <v>2475</v>
      </c>
      <c r="CB758" t="s">
        <v>302</v>
      </c>
      <c r="CC758">
        <v>169</v>
      </c>
      <c r="CD758">
        <v>0.57999999999999996</v>
      </c>
      <c r="CE758">
        <v>46.7</v>
      </c>
      <c r="CF758">
        <v>8385</v>
      </c>
      <c r="CG758">
        <v>3000</v>
      </c>
      <c r="CH758">
        <v>97</v>
      </c>
      <c r="CI758">
        <v>1647.2</v>
      </c>
      <c r="CJ758">
        <v>1080.9000000000001</v>
      </c>
      <c r="CK758">
        <v>30000</v>
      </c>
      <c r="CL758" t="s">
        <v>291</v>
      </c>
      <c r="CM758" t="s">
        <v>291</v>
      </c>
      <c r="CN758" t="s">
        <v>2156</v>
      </c>
      <c r="CO758" s="1">
        <v>43069</v>
      </c>
      <c r="CP758" s="1">
        <v>43599</v>
      </c>
    </row>
    <row r="759" spans="1:94" x14ac:dyDescent="0.25">
      <c r="A759" s="4" t="s">
        <v>2481</v>
      </c>
      <c r="B759" t="str">
        <f xml:space="preserve"> "" &amp; 706411059285</f>
        <v>706411059285</v>
      </c>
      <c r="C759" t="s">
        <v>2482</v>
      </c>
      <c r="D759" t="s">
        <v>2483</v>
      </c>
      <c r="E759" t="s">
        <v>2484</v>
      </c>
      <c r="F759" t="s">
        <v>2113</v>
      </c>
      <c r="G759">
        <v>1</v>
      </c>
      <c r="H759">
        <v>1</v>
      </c>
      <c r="I759" t="s">
        <v>97</v>
      </c>
      <c r="J759" s="32">
        <v>229.95</v>
      </c>
      <c r="K759" s="32">
        <v>689.85</v>
      </c>
      <c r="L759">
        <v>0</v>
      </c>
      <c r="N759">
        <v>0</v>
      </c>
      <c r="Q759" t="s">
        <v>291</v>
      </c>
      <c r="R759" s="32">
        <v>459.95</v>
      </c>
      <c r="S759">
        <v>14.5</v>
      </c>
      <c r="T759">
        <v>56</v>
      </c>
      <c r="U759">
        <v>56</v>
      </c>
      <c r="W759">
        <v>13.62</v>
      </c>
      <c r="X759">
        <v>1</v>
      </c>
      <c r="Y759">
        <v>10.130000000000001</v>
      </c>
      <c r="Z759">
        <v>33.5</v>
      </c>
      <c r="AA759">
        <v>9.75</v>
      </c>
      <c r="AB759">
        <v>1.915</v>
      </c>
      <c r="AC759">
        <v>16.309999999999999</v>
      </c>
      <c r="AE759">
        <v>1</v>
      </c>
      <c r="AF759" t="s">
        <v>2141</v>
      </c>
      <c r="AG759">
        <v>20</v>
      </c>
      <c r="AK759" t="s">
        <v>291</v>
      </c>
      <c r="AM759" t="s">
        <v>98</v>
      </c>
      <c r="AN759" t="s">
        <v>291</v>
      </c>
      <c r="AO759" t="s">
        <v>98</v>
      </c>
      <c r="AP759" t="s">
        <v>99</v>
      </c>
      <c r="AQ759" t="s">
        <v>102</v>
      </c>
      <c r="AV759" t="s">
        <v>98</v>
      </c>
      <c r="AX759" t="s">
        <v>703</v>
      </c>
      <c r="AZ759" t="s">
        <v>535</v>
      </c>
      <c r="BB759" t="s">
        <v>106</v>
      </c>
      <c r="BC759" t="s">
        <v>302</v>
      </c>
      <c r="BF759" t="s">
        <v>2485</v>
      </c>
      <c r="BG759" t="s">
        <v>98</v>
      </c>
      <c r="BH759" t="s">
        <v>98</v>
      </c>
      <c r="BI759" t="s">
        <v>98</v>
      </c>
      <c r="BK759" t="s">
        <v>138</v>
      </c>
      <c r="BU759">
        <v>6</v>
      </c>
      <c r="BW759">
        <v>0.75</v>
      </c>
      <c r="BX759" t="s">
        <v>2486</v>
      </c>
      <c r="BY759" t="s">
        <v>291</v>
      </c>
      <c r="BZ759" t="s">
        <v>703</v>
      </c>
      <c r="CA759" t="s">
        <v>2487</v>
      </c>
      <c r="CB759" t="s">
        <v>703</v>
      </c>
      <c r="CC759">
        <v>191</v>
      </c>
      <c r="CD759">
        <v>0.51</v>
      </c>
      <c r="CE759">
        <v>41.74</v>
      </c>
      <c r="CF759">
        <v>8177</v>
      </c>
      <c r="CG759">
        <v>3000</v>
      </c>
      <c r="CH759">
        <v>96</v>
      </c>
      <c r="CI759">
        <v>1100.4000000000001</v>
      </c>
      <c r="CJ759">
        <v>643.5</v>
      </c>
      <c r="CK759">
        <v>30000</v>
      </c>
      <c r="CL759" t="s">
        <v>291</v>
      </c>
      <c r="CM759" t="s">
        <v>291</v>
      </c>
      <c r="CN759" t="s">
        <v>2307</v>
      </c>
      <c r="CO759" s="1">
        <v>43070</v>
      </c>
      <c r="CP759" s="1">
        <v>43598</v>
      </c>
    </row>
    <row r="760" spans="1:94" x14ac:dyDescent="0.25">
      <c r="A760" s="4" t="s">
        <v>2488</v>
      </c>
      <c r="B760" t="str">
        <f xml:space="preserve"> "" &amp; 706411058783</f>
        <v>706411058783</v>
      </c>
      <c r="C760" t="s">
        <v>2482</v>
      </c>
      <c r="D760" t="s">
        <v>2483</v>
      </c>
      <c r="E760" t="s">
        <v>2484</v>
      </c>
      <c r="F760" t="s">
        <v>2113</v>
      </c>
      <c r="G760">
        <v>1</v>
      </c>
      <c r="H760">
        <v>1</v>
      </c>
      <c r="I760" t="s">
        <v>97</v>
      </c>
      <c r="J760" s="32">
        <v>229.95</v>
      </c>
      <c r="K760" s="32">
        <v>689.85</v>
      </c>
      <c r="L760">
        <v>0</v>
      </c>
      <c r="N760">
        <v>0</v>
      </c>
      <c r="Q760" t="s">
        <v>291</v>
      </c>
      <c r="R760" s="32">
        <v>459.95</v>
      </c>
      <c r="S760">
        <v>14.5</v>
      </c>
      <c r="T760">
        <v>56</v>
      </c>
      <c r="U760">
        <v>56</v>
      </c>
      <c r="W760">
        <v>13.62</v>
      </c>
      <c r="X760">
        <v>1</v>
      </c>
      <c r="Y760">
        <v>10.130000000000001</v>
      </c>
      <c r="Z760">
        <v>33.5</v>
      </c>
      <c r="AA760">
        <v>9.75</v>
      </c>
      <c r="AB760">
        <v>1.915</v>
      </c>
      <c r="AC760">
        <v>16.309999999999999</v>
      </c>
      <c r="AE760">
        <v>1</v>
      </c>
      <c r="AF760" t="s">
        <v>2141</v>
      </c>
      <c r="AG760">
        <v>20</v>
      </c>
      <c r="AK760" t="s">
        <v>291</v>
      </c>
      <c r="AM760" t="s">
        <v>98</v>
      </c>
      <c r="AN760" t="s">
        <v>291</v>
      </c>
      <c r="AO760" t="s">
        <v>98</v>
      </c>
      <c r="AP760" t="s">
        <v>99</v>
      </c>
      <c r="AQ760" t="s">
        <v>102</v>
      </c>
      <c r="AV760" t="s">
        <v>98</v>
      </c>
      <c r="AX760" t="s">
        <v>219</v>
      </c>
      <c r="AZ760" t="s">
        <v>535</v>
      </c>
      <c r="BB760" t="s">
        <v>106</v>
      </c>
      <c r="BC760" t="s">
        <v>302</v>
      </c>
      <c r="BF760" t="s">
        <v>2489</v>
      </c>
      <c r="BG760" t="s">
        <v>98</v>
      </c>
      <c r="BH760" t="s">
        <v>98</v>
      </c>
      <c r="BI760" t="s">
        <v>98</v>
      </c>
      <c r="BK760" t="s">
        <v>138</v>
      </c>
      <c r="BU760">
        <v>6</v>
      </c>
      <c r="BW760">
        <v>0.75</v>
      </c>
      <c r="BX760" t="s">
        <v>2486</v>
      </c>
      <c r="BY760" t="s">
        <v>291</v>
      </c>
      <c r="BZ760" t="s">
        <v>219</v>
      </c>
      <c r="CA760" t="s">
        <v>2487</v>
      </c>
      <c r="CB760" t="s">
        <v>219</v>
      </c>
      <c r="CC760">
        <v>191</v>
      </c>
      <c r="CD760">
        <v>0.51</v>
      </c>
      <c r="CE760">
        <v>41.74</v>
      </c>
      <c r="CF760">
        <v>8177</v>
      </c>
      <c r="CG760">
        <v>3000</v>
      </c>
      <c r="CH760">
        <v>96</v>
      </c>
      <c r="CI760">
        <v>1100.4000000000001</v>
      </c>
      <c r="CJ760">
        <v>643.5</v>
      </c>
      <c r="CK760">
        <v>30000</v>
      </c>
      <c r="CL760" t="s">
        <v>291</v>
      </c>
      <c r="CM760" t="s">
        <v>291</v>
      </c>
      <c r="CN760" t="s">
        <v>553</v>
      </c>
      <c r="CO760" s="1">
        <v>43069</v>
      </c>
      <c r="CP760" s="1">
        <v>43598</v>
      </c>
    </row>
    <row r="761" spans="1:94" x14ac:dyDescent="0.25">
      <c r="A761" s="4" t="s">
        <v>2490</v>
      </c>
      <c r="B761" t="str">
        <f xml:space="preserve"> "" &amp; 706411058776</f>
        <v>706411058776</v>
      </c>
      <c r="C761" t="s">
        <v>2482</v>
      </c>
      <c r="D761" t="s">
        <v>2483</v>
      </c>
      <c r="E761" t="s">
        <v>2484</v>
      </c>
      <c r="F761" t="s">
        <v>2113</v>
      </c>
      <c r="G761">
        <v>1</v>
      </c>
      <c r="H761">
        <v>1</v>
      </c>
      <c r="I761" t="s">
        <v>97</v>
      </c>
      <c r="J761" s="32">
        <v>229.95</v>
      </c>
      <c r="K761" s="32">
        <v>689.85</v>
      </c>
      <c r="L761">
        <v>0</v>
      </c>
      <c r="N761">
        <v>0</v>
      </c>
      <c r="Q761" t="s">
        <v>291</v>
      </c>
      <c r="R761" s="32">
        <v>459.95</v>
      </c>
      <c r="S761">
        <v>14.5</v>
      </c>
      <c r="T761">
        <v>56</v>
      </c>
      <c r="U761">
        <v>56</v>
      </c>
      <c r="W761">
        <v>13.62</v>
      </c>
      <c r="X761">
        <v>1</v>
      </c>
      <c r="Y761">
        <v>10.130000000000001</v>
      </c>
      <c r="Z761">
        <v>33.5</v>
      </c>
      <c r="AA761">
        <v>9.75</v>
      </c>
      <c r="AB761">
        <v>1.915</v>
      </c>
      <c r="AC761">
        <v>16.309999999999999</v>
      </c>
      <c r="AE761">
        <v>1</v>
      </c>
      <c r="AF761" t="s">
        <v>2141</v>
      </c>
      <c r="AG761">
        <v>20</v>
      </c>
      <c r="AK761" t="s">
        <v>291</v>
      </c>
      <c r="AM761" t="s">
        <v>98</v>
      </c>
      <c r="AN761" t="s">
        <v>291</v>
      </c>
      <c r="AO761" t="s">
        <v>98</v>
      </c>
      <c r="AP761" t="s">
        <v>99</v>
      </c>
      <c r="AQ761" t="s">
        <v>102</v>
      </c>
      <c r="AV761" t="s">
        <v>98</v>
      </c>
      <c r="AX761" t="s">
        <v>441</v>
      </c>
      <c r="AZ761" t="s">
        <v>535</v>
      </c>
      <c r="BB761" t="s">
        <v>106</v>
      </c>
      <c r="BC761" t="s">
        <v>302</v>
      </c>
      <c r="BF761" t="s">
        <v>2491</v>
      </c>
      <c r="BG761" t="s">
        <v>98</v>
      </c>
      <c r="BH761" t="s">
        <v>98</v>
      </c>
      <c r="BI761" t="s">
        <v>98</v>
      </c>
      <c r="BK761" t="s">
        <v>138</v>
      </c>
      <c r="BU761">
        <v>6</v>
      </c>
      <c r="BW761">
        <v>0.75</v>
      </c>
      <c r="BX761" t="s">
        <v>2486</v>
      </c>
      <c r="BY761" t="s">
        <v>291</v>
      </c>
      <c r="BZ761" t="s">
        <v>441</v>
      </c>
      <c r="CA761" t="s">
        <v>2487</v>
      </c>
      <c r="CB761" t="s">
        <v>441</v>
      </c>
      <c r="CC761">
        <v>191</v>
      </c>
      <c r="CD761">
        <v>0.51</v>
      </c>
      <c r="CE761">
        <v>41.74</v>
      </c>
      <c r="CF761">
        <v>8177</v>
      </c>
      <c r="CG761">
        <v>3000</v>
      </c>
      <c r="CH761">
        <v>96</v>
      </c>
      <c r="CI761">
        <v>1100.4000000000001</v>
      </c>
      <c r="CJ761">
        <v>643.5</v>
      </c>
      <c r="CK761">
        <v>30000</v>
      </c>
      <c r="CL761" t="s">
        <v>291</v>
      </c>
      <c r="CM761" t="s">
        <v>291</v>
      </c>
      <c r="CN761" t="s">
        <v>553</v>
      </c>
      <c r="CO761" s="1">
        <v>43069</v>
      </c>
      <c r="CP761" s="1">
        <v>43607</v>
      </c>
    </row>
    <row r="762" spans="1:94" x14ac:dyDescent="0.25">
      <c r="A762" s="4" t="s">
        <v>2492</v>
      </c>
      <c r="B762" t="str">
        <f xml:space="preserve"> "" &amp; 706411058769</f>
        <v>706411058769</v>
      </c>
      <c r="C762" t="s">
        <v>2482</v>
      </c>
      <c r="D762" t="s">
        <v>2483</v>
      </c>
      <c r="E762" t="s">
        <v>2484</v>
      </c>
      <c r="F762" t="s">
        <v>2113</v>
      </c>
      <c r="G762">
        <v>1</v>
      </c>
      <c r="H762">
        <v>1</v>
      </c>
      <c r="I762" t="s">
        <v>97</v>
      </c>
      <c r="J762" s="32">
        <v>229.95</v>
      </c>
      <c r="K762" s="32">
        <v>689.85</v>
      </c>
      <c r="L762">
        <v>0</v>
      </c>
      <c r="N762">
        <v>0</v>
      </c>
      <c r="Q762" t="s">
        <v>291</v>
      </c>
      <c r="R762" s="32">
        <v>459.95</v>
      </c>
      <c r="S762">
        <v>14.5</v>
      </c>
      <c r="T762">
        <v>56</v>
      </c>
      <c r="U762">
        <v>56</v>
      </c>
      <c r="W762">
        <v>13.62</v>
      </c>
      <c r="X762">
        <v>1</v>
      </c>
      <c r="Y762">
        <v>10.130000000000001</v>
      </c>
      <c r="Z762">
        <v>33.5</v>
      </c>
      <c r="AA762">
        <v>9.75</v>
      </c>
      <c r="AB762">
        <v>1.915</v>
      </c>
      <c r="AC762">
        <v>16.309999999999999</v>
      </c>
      <c r="AE762">
        <v>1</v>
      </c>
      <c r="AF762" t="s">
        <v>2141</v>
      </c>
      <c r="AG762">
        <v>20</v>
      </c>
      <c r="AK762" t="s">
        <v>291</v>
      </c>
      <c r="AM762" t="s">
        <v>98</v>
      </c>
      <c r="AN762" t="s">
        <v>291</v>
      </c>
      <c r="AO762" t="s">
        <v>98</v>
      </c>
      <c r="AP762" t="s">
        <v>99</v>
      </c>
      <c r="AQ762" t="s">
        <v>102</v>
      </c>
      <c r="AV762" t="s">
        <v>98</v>
      </c>
      <c r="AX762" t="s">
        <v>306</v>
      </c>
      <c r="AZ762" t="s">
        <v>535</v>
      </c>
      <c r="BB762" t="s">
        <v>106</v>
      </c>
      <c r="BC762" t="s">
        <v>302</v>
      </c>
      <c r="BF762" t="s">
        <v>2493</v>
      </c>
      <c r="BG762" t="s">
        <v>98</v>
      </c>
      <c r="BH762" t="s">
        <v>98</v>
      </c>
      <c r="BI762" t="s">
        <v>98</v>
      </c>
      <c r="BK762" t="s">
        <v>138</v>
      </c>
      <c r="BU762">
        <v>6</v>
      </c>
      <c r="BW762">
        <v>0.75</v>
      </c>
      <c r="BX762" t="s">
        <v>2486</v>
      </c>
      <c r="BY762" t="s">
        <v>291</v>
      </c>
      <c r="BZ762" t="s">
        <v>306</v>
      </c>
      <c r="CA762" t="s">
        <v>2487</v>
      </c>
      <c r="CB762" t="s">
        <v>306</v>
      </c>
      <c r="CC762">
        <v>191</v>
      </c>
      <c r="CD762">
        <v>0.51</v>
      </c>
      <c r="CE762">
        <v>41.74</v>
      </c>
      <c r="CF762">
        <v>8177</v>
      </c>
      <c r="CG762">
        <v>3000</v>
      </c>
      <c r="CH762">
        <v>96</v>
      </c>
      <c r="CI762">
        <v>1100.4000000000001</v>
      </c>
      <c r="CJ762">
        <v>643.5</v>
      </c>
      <c r="CK762">
        <v>30000</v>
      </c>
      <c r="CL762" t="s">
        <v>291</v>
      </c>
      <c r="CM762" t="s">
        <v>98</v>
      </c>
      <c r="CN762" t="s">
        <v>2307</v>
      </c>
      <c r="CO762" s="1">
        <v>43069</v>
      </c>
      <c r="CP762" s="1">
        <v>43605</v>
      </c>
    </row>
    <row r="763" spans="1:94" x14ac:dyDescent="0.25">
      <c r="A763" s="4" t="s">
        <v>2494</v>
      </c>
      <c r="B763" t="str">
        <f xml:space="preserve"> "" &amp; 706411029400</f>
        <v>706411029400</v>
      </c>
      <c r="C763" t="s">
        <v>2421</v>
      </c>
      <c r="D763" t="s">
        <v>4453</v>
      </c>
      <c r="E763" t="str">
        <f xml:space="preserve"> "CALAIS" &amp;  CHAR(153) &amp; ""</f>
        <v>CALAIS™</v>
      </c>
      <c r="F763" t="s">
        <v>2113</v>
      </c>
      <c r="G763">
        <v>1</v>
      </c>
      <c r="H763">
        <v>1</v>
      </c>
      <c r="I763" t="s">
        <v>97</v>
      </c>
      <c r="J763" s="32">
        <v>189.95</v>
      </c>
      <c r="K763" s="32">
        <v>569.85</v>
      </c>
      <c r="L763">
        <v>0</v>
      </c>
      <c r="N763">
        <v>0</v>
      </c>
      <c r="Q763" t="s">
        <v>291</v>
      </c>
      <c r="R763" s="32">
        <v>319.95</v>
      </c>
      <c r="S763">
        <v>12</v>
      </c>
      <c r="T763">
        <v>52</v>
      </c>
      <c r="U763">
        <v>52</v>
      </c>
      <c r="W763">
        <v>26.79</v>
      </c>
      <c r="X763">
        <v>1</v>
      </c>
      <c r="Y763">
        <v>10.55</v>
      </c>
      <c r="Z763">
        <v>27.8</v>
      </c>
      <c r="AA763">
        <v>16.18</v>
      </c>
      <c r="AB763">
        <v>2.746</v>
      </c>
      <c r="AC763">
        <v>31.88</v>
      </c>
      <c r="AE763">
        <v>2</v>
      </c>
      <c r="AF763" t="s">
        <v>2495</v>
      </c>
      <c r="AG763">
        <v>60</v>
      </c>
      <c r="AK763" t="s">
        <v>291</v>
      </c>
      <c r="AM763" t="s">
        <v>98</v>
      </c>
      <c r="AN763" t="s">
        <v>291</v>
      </c>
      <c r="AO763" t="s">
        <v>98</v>
      </c>
      <c r="AP763" t="s">
        <v>99</v>
      </c>
      <c r="AQ763" t="s">
        <v>102</v>
      </c>
      <c r="AV763" t="s">
        <v>98</v>
      </c>
      <c r="AX763" t="s">
        <v>136</v>
      </c>
      <c r="AZ763" t="s">
        <v>2235</v>
      </c>
      <c r="BB763" t="s">
        <v>54</v>
      </c>
      <c r="BC763" t="s">
        <v>2496</v>
      </c>
      <c r="BF763" t="s">
        <v>2497</v>
      </c>
      <c r="BG763" t="s">
        <v>98</v>
      </c>
      <c r="BH763" t="s">
        <v>98</v>
      </c>
      <c r="BI763" t="s">
        <v>98</v>
      </c>
      <c r="BK763" t="s">
        <v>138</v>
      </c>
      <c r="BX763" t="s">
        <v>2218</v>
      </c>
      <c r="BY763" t="s">
        <v>291</v>
      </c>
      <c r="BZ763" t="s">
        <v>2254</v>
      </c>
      <c r="CA763" t="s">
        <v>2498</v>
      </c>
      <c r="CB763" t="s">
        <v>136</v>
      </c>
      <c r="CC763">
        <v>169</v>
      </c>
      <c r="CD763">
        <v>0.68500000000000005</v>
      </c>
      <c r="CE763">
        <v>81.44</v>
      </c>
      <c r="CF763">
        <v>4113.78</v>
      </c>
      <c r="CL763" t="s">
        <v>291</v>
      </c>
      <c r="CM763" t="s">
        <v>98</v>
      </c>
      <c r="CO763" s="1">
        <v>38702</v>
      </c>
      <c r="CP763" s="1">
        <v>43595</v>
      </c>
    </row>
    <row r="764" spans="1:94" x14ac:dyDescent="0.25">
      <c r="A764" s="4" t="s">
        <v>2499</v>
      </c>
      <c r="B764" t="str">
        <f xml:space="preserve"> "" &amp; 706411026393</f>
        <v>706411026393</v>
      </c>
      <c r="C764" t="s">
        <v>2178</v>
      </c>
      <c r="D764" t="s">
        <v>2500</v>
      </c>
      <c r="E764" t="s">
        <v>2501</v>
      </c>
      <c r="F764" t="s">
        <v>2113</v>
      </c>
      <c r="G764">
        <v>1</v>
      </c>
      <c r="H764">
        <v>1</v>
      </c>
      <c r="I764" t="s">
        <v>97</v>
      </c>
      <c r="J764" s="32">
        <v>47.5</v>
      </c>
      <c r="K764" s="32">
        <v>142.5</v>
      </c>
      <c r="L764">
        <v>0</v>
      </c>
      <c r="N764">
        <v>0</v>
      </c>
      <c r="S764">
        <v>11.5</v>
      </c>
      <c r="T764">
        <v>42</v>
      </c>
      <c r="U764">
        <v>42</v>
      </c>
      <c r="W764">
        <v>11.02</v>
      </c>
      <c r="X764">
        <v>1</v>
      </c>
      <c r="Y764">
        <v>8.6300000000000008</v>
      </c>
      <c r="Z764">
        <v>16</v>
      </c>
      <c r="AA764">
        <v>9.5</v>
      </c>
      <c r="AB764">
        <v>0.75900000000000001</v>
      </c>
      <c r="AC764">
        <v>11.9</v>
      </c>
      <c r="AK764" t="s">
        <v>98</v>
      </c>
      <c r="AM764" t="s">
        <v>98</v>
      </c>
      <c r="AN764" t="s">
        <v>98</v>
      </c>
      <c r="AO764" t="s">
        <v>291</v>
      </c>
      <c r="AP764" t="s">
        <v>99</v>
      </c>
      <c r="AQ764" t="s">
        <v>102</v>
      </c>
      <c r="AV764" t="s">
        <v>98</v>
      </c>
      <c r="AX764" t="s">
        <v>163</v>
      </c>
      <c r="BC764" t="s">
        <v>485</v>
      </c>
      <c r="BF764" t="s">
        <v>2502</v>
      </c>
      <c r="BG764" t="s">
        <v>98</v>
      </c>
      <c r="BH764" t="s">
        <v>98</v>
      </c>
      <c r="BI764" t="s">
        <v>98</v>
      </c>
      <c r="BK764" t="s">
        <v>138</v>
      </c>
      <c r="BU764">
        <v>6</v>
      </c>
      <c r="BW764">
        <v>0.75</v>
      </c>
      <c r="BX764" t="s">
        <v>2443</v>
      </c>
      <c r="BY764" t="s">
        <v>98</v>
      </c>
      <c r="BZ764" t="s">
        <v>441</v>
      </c>
      <c r="CA764" t="s">
        <v>2503</v>
      </c>
      <c r="CB764" t="s">
        <v>163</v>
      </c>
      <c r="CC764">
        <v>217</v>
      </c>
      <c r="CD764">
        <v>0.39</v>
      </c>
      <c r="CE764">
        <v>47</v>
      </c>
      <c r="CF764">
        <v>3290.33</v>
      </c>
      <c r="CL764" t="s">
        <v>98</v>
      </c>
      <c r="CM764" t="s">
        <v>98</v>
      </c>
      <c r="CO764" s="1">
        <v>38315</v>
      </c>
      <c r="CP764" s="1">
        <v>43595</v>
      </c>
    </row>
    <row r="765" spans="1:94" x14ac:dyDescent="0.25">
      <c r="A765" s="4" t="s">
        <v>2504</v>
      </c>
      <c r="B765" t="str">
        <f xml:space="preserve"> "" &amp; 706411041952</f>
        <v>706411041952</v>
      </c>
      <c r="C765" t="s">
        <v>2178</v>
      </c>
      <c r="D765" t="s">
        <v>2500</v>
      </c>
      <c r="E765" t="s">
        <v>2501</v>
      </c>
      <c r="F765" t="s">
        <v>2113</v>
      </c>
      <c r="G765">
        <v>1</v>
      </c>
      <c r="H765">
        <v>1</v>
      </c>
      <c r="I765" t="s">
        <v>97</v>
      </c>
      <c r="J765" s="32">
        <v>47.5</v>
      </c>
      <c r="K765" s="32">
        <v>142.5</v>
      </c>
      <c r="L765">
        <v>0</v>
      </c>
      <c r="N765">
        <v>0</v>
      </c>
      <c r="S765">
        <v>12.25</v>
      </c>
      <c r="T765">
        <v>42</v>
      </c>
      <c r="U765">
        <v>42</v>
      </c>
      <c r="W765">
        <v>11.02</v>
      </c>
      <c r="X765">
        <v>1</v>
      </c>
      <c r="Y765">
        <v>8.6300000000000008</v>
      </c>
      <c r="Z765">
        <v>16</v>
      </c>
      <c r="AA765">
        <v>9.5</v>
      </c>
      <c r="AB765">
        <v>0.75900000000000001</v>
      </c>
      <c r="AC765">
        <v>11.9</v>
      </c>
      <c r="AK765" t="s">
        <v>98</v>
      </c>
      <c r="AM765" t="s">
        <v>98</v>
      </c>
      <c r="AN765" t="s">
        <v>98</v>
      </c>
      <c r="AO765" t="s">
        <v>291</v>
      </c>
      <c r="AP765" t="s">
        <v>99</v>
      </c>
      <c r="AQ765" t="s">
        <v>102</v>
      </c>
      <c r="AV765" t="s">
        <v>98</v>
      </c>
      <c r="AX765" t="s">
        <v>2505</v>
      </c>
      <c r="AZ765" t="s">
        <v>109</v>
      </c>
      <c r="BC765" t="s">
        <v>485</v>
      </c>
      <c r="BF765" t="s">
        <v>2506</v>
      </c>
      <c r="BG765" t="s">
        <v>98</v>
      </c>
      <c r="BH765" t="s">
        <v>98</v>
      </c>
      <c r="BI765" t="s">
        <v>98</v>
      </c>
      <c r="BK765" t="s">
        <v>138</v>
      </c>
      <c r="BU765">
        <v>6</v>
      </c>
      <c r="BW765">
        <v>0.75</v>
      </c>
      <c r="BX765" t="s">
        <v>2121</v>
      </c>
      <c r="BY765" t="s">
        <v>98</v>
      </c>
      <c r="BZ765" t="s">
        <v>2254</v>
      </c>
      <c r="CA765" t="s">
        <v>2503</v>
      </c>
      <c r="CB765" t="s">
        <v>2505</v>
      </c>
      <c r="CC765">
        <v>217</v>
      </c>
      <c r="CD765">
        <v>0.39</v>
      </c>
      <c r="CE765">
        <v>47</v>
      </c>
      <c r="CF765">
        <v>3290.33</v>
      </c>
      <c r="CL765" t="s">
        <v>98</v>
      </c>
      <c r="CM765" t="s">
        <v>291</v>
      </c>
      <c r="CO765" s="1">
        <v>40773</v>
      </c>
      <c r="CP765" s="1">
        <v>43595</v>
      </c>
    </row>
    <row r="766" spans="1:94" x14ac:dyDescent="0.25">
      <c r="A766" s="4" t="s">
        <v>2507</v>
      </c>
      <c r="B766" t="str">
        <f xml:space="preserve"> "" &amp; 706411026409</f>
        <v>706411026409</v>
      </c>
      <c r="C766" t="s">
        <v>2178</v>
      </c>
      <c r="D766" t="s">
        <v>2500</v>
      </c>
      <c r="E766" t="s">
        <v>2501</v>
      </c>
      <c r="F766" t="s">
        <v>2113</v>
      </c>
      <c r="G766">
        <v>1</v>
      </c>
      <c r="H766">
        <v>1</v>
      </c>
      <c r="I766" t="s">
        <v>97</v>
      </c>
      <c r="J766" s="32">
        <v>47.5</v>
      </c>
      <c r="K766" s="32">
        <v>142.5</v>
      </c>
      <c r="L766">
        <v>0</v>
      </c>
      <c r="N766">
        <v>0</v>
      </c>
      <c r="S766">
        <v>11.5</v>
      </c>
      <c r="T766">
        <v>42</v>
      </c>
      <c r="U766">
        <v>42</v>
      </c>
      <c r="W766">
        <v>11.02</v>
      </c>
      <c r="X766">
        <v>1</v>
      </c>
      <c r="Y766">
        <v>8.6300000000000008</v>
      </c>
      <c r="Z766">
        <v>16</v>
      </c>
      <c r="AA766">
        <v>9.5</v>
      </c>
      <c r="AB766">
        <v>0.75900000000000001</v>
      </c>
      <c r="AC766">
        <v>11.9</v>
      </c>
      <c r="AK766" t="s">
        <v>98</v>
      </c>
      <c r="AM766" t="s">
        <v>98</v>
      </c>
      <c r="AN766" t="s">
        <v>98</v>
      </c>
      <c r="AO766" t="s">
        <v>291</v>
      </c>
      <c r="AP766" t="s">
        <v>99</v>
      </c>
      <c r="AQ766" t="s">
        <v>102</v>
      </c>
      <c r="AV766" t="s">
        <v>98</v>
      </c>
      <c r="AX766" t="s">
        <v>245</v>
      </c>
      <c r="BC766" t="s">
        <v>485</v>
      </c>
      <c r="BF766" t="s">
        <v>2508</v>
      </c>
      <c r="BG766" t="s">
        <v>98</v>
      </c>
      <c r="BH766" t="s">
        <v>98</v>
      </c>
      <c r="BI766" t="s">
        <v>98</v>
      </c>
      <c r="BK766" t="s">
        <v>138</v>
      </c>
      <c r="BU766">
        <v>6</v>
      </c>
      <c r="BW766">
        <v>0.75</v>
      </c>
      <c r="BX766" t="s">
        <v>2443</v>
      </c>
      <c r="BY766" t="s">
        <v>98</v>
      </c>
      <c r="BZ766" t="s">
        <v>2159</v>
      </c>
      <c r="CA766" t="s">
        <v>2503</v>
      </c>
      <c r="CB766" t="s">
        <v>245</v>
      </c>
      <c r="CC766">
        <v>217</v>
      </c>
      <c r="CD766">
        <v>0.39</v>
      </c>
      <c r="CE766">
        <v>47</v>
      </c>
      <c r="CF766">
        <v>3290.33</v>
      </c>
      <c r="CL766" t="s">
        <v>98</v>
      </c>
      <c r="CM766" t="s">
        <v>98</v>
      </c>
      <c r="CO766" s="1">
        <v>38315</v>
      </c>
      <c r="CP766" s="1">
        <v>43595</v>
      </c>
    </row>
    <row r="767" spans="1:94" x14ac:dyDescent="0.25">
      <c r="A767" s="4" t="s">
        <v>2509</v>
      </c>
      <c r="B767" t="str">
        <f xml:space="preserve"> "" &amp; 706411026386</f>
        <v>706411026386</v>
      </c>
      <c r="C767" t="s">
        <v>2178</v>
      </c>
      <c r="D767" t="s">
        <v>2500</v>
      </c>
      <c r="E767" t="s">
        <v>2501</v>
      </c>
      <c r="F767" t="s">
        <v>2113</v>
      </c>
      <c r="G767">
        <v>1</v>
      </c>
      <c r="H767">
        <v>1</v>
      </c>
      <c r="I767" t="s">
        <v>97</v>
      </c>
      <c r="J767" s="32">
        <v>42.5</v>
      </c>
      <c r="K767" s="32">
        <v>127.5</v>
      </c>
      <c r="L767">
        <v>0</v>
      </c>
      <c r="N767">
        <v>0</v>
      </c>
      <c r="S767">
        <v>11.5</v>
      </c>
      <c r="T767">
        <v>42</v>
      </c>
      <c r="U767">
        <v>42</v>
      </c>
      <c r="W767">
        <v>11.02</v>
      </c>
      <c r="X767">
        <v>1</v>
      </c>
      <c r="Y767">
        <v>8.6300000000000008</v>
      </c>
      <c r="Z767">
        <v>16</v>
      </c>
      <c r="AA767">
        <v>9.5</v>
      </c>
      <c r="AB767">
        <v>0.75900000000000001</v>
      </c>
      <c r="AC767">
        <v>11.9</v>
      </c>
      <c r="AK767" t="s">
        <v>98</v>
      </c>
      <c r="AM767" t="s">
        <v>98</v>
      </c>
      <c r="AN767" t="s">
        <v>98</v>
      </c>
      <c r="AO767" t="s">
        <v>291</v>
      </c>
      <c r="AP767" t="s">
        <v>99</v>
      </c>
      <c r="AQ767" t="s">
        <v>102</v>
      </c>
      <c r="AV767" t="s">
        <v>98</v>
      </c>
      <c r="AX767" t="s">
        <v>302</v>
      </c>
      <c r="BC767" t="s">
        <v>485</v>
      </c>
      <c r="BF767" t="s">
        <v>2510</v>
      </c>
      <c r="BG767" t="s">
        <v>98</v>
      </c>
      <c r="BH767" t="s">
        <v>98</v>
      </c>
      <c r="BI767" t="s">
        <v>98</v>
      </c>
      <c r="BK767" t="s">
        <v>138</v>
      </c>
      <c r="BU767">
        <v>6</v>
      </c>
      <c r="BW767">
        <v>0.75</v>
      </c>
      <c r="BX767" t="s">
        <v>2443</v>
      </c>
      <c r="BY767" t="s">
        <v>98</v>
      </c>
      <c r="BZ767" t="s">
        <v>302</v>
      </c>
      <c r="CA767" t="s">
        <v>2503</v>
      </c>
      <c r="CB767" t="s">
        <v>302</v>
      </c>
      <c r="CC767">
        <v>217</v>
      </c>
      <c r="CD767">
        <v>0.39</v>
      </c>
      <c r="CE767">
        <v>47</v>
      </c>
      <c r="CF767">
        <v>3290.33</v>
      </c>
      <c r="CL767" t="s">
        <v>98</v>
      </c>
      <c r="CM767" t="s">
        <v>98</v>
      </c>
      <c r="CO767" s="1">
        <v>38315</v>
      </c>
      <c r="CP767" s="1">
        <v>43595</v>
      </c>
    </row>
    <row r="768" spans="1:94" x14ac:dyDescent="0.25">
      <c r="A768" s="4" t="s">
        <v>2511</v>
      </c>
      <c r="B768" t="str">
        <f xml:space="preserve"> "" &amp; 706411008719</f>
        <v>706411008719</v>
      </c>
      <c r="C768" t="s">
        <v>2178</v>
      </c>
      <c r="D768" t="s">
        <v>2512</v>
      </c>
      <c r="E768" t="s">
        <v>2513</v>
      </c>
      <c r="F768" t="s">
        <v>2113</v>
      </c>
      <c r="G768">
        <v>1</v>
      </c>
      <c r="H768">
        <v>1</v>
      </c>
      <c r="I768" t="s">
        <v>97</v>
      </c>
      <c r="J768" s="32">
        <v>49.5</v>
      </c>
      <c r="K768" s="32">
        <v>148.5</v>
      </c>
      <c r="L768">
        <v>0</v>
      </c>
      <c r="N768">
        <v>0</v>
      </c>
      <c r="S768">
        <v>12.25</v>
      </c>
      <c r="T768">
        <v>52</v>
      </c>
      <c r="U768">
        <v>52</v>
      </c>
      <c r="W768">
        <v>13.82</v>
      </c>
      <c r="X768">
        <v>1</v>
      </c>
      <c r="Y768">
        <v>8.07</v>
      </c>
      <c r="Z768">
        <v>22.05</v>
      </c>
      <c r="AA768">
        <v>11.81</v>
      </c>
      <c r="AB768">
        <v>1.216</v>
      </c>
      <c r="AC768">
        <v>15.85</v>
      </c>
      <c r="AK768" t="s">
        <v>98</v>
      </c>
      <c r="AM768" t="s">
        <v>98</v>
      </c>
      <c r="AN768" t="s">
        <v>98</v>
      </c>
      <c r="AO768" t="s">
        <v>291</v>
      </c>
      <c r="AP768" t="s">
        <v>99</v>
      </c>
      <c r="AQ768" t="s">
        <v>102</v>
      </c>
      <c r="AV768" t="s">
        <v>98</v>
      </c>
      <c r="AX768" t="s">
        <v>163</v>
      </c>
      <c r="AZ768" t="s">
        <v>2235</v>
      </c>
      <c r="BC768" t="s">
        <v>485</v>
      </c>
      <c r="BF768" t="s">
        <v>2514</v>
      </c>
      <c r="BG768" t="s">
        <v>98</v>
      </c>
      <c r="BH768" t="s">
        <v>98</v>
      </c>
      <c r="BI768" t="s">
        <v>98</v>
      </c>
      <c r="BK768" t="s">
        <v>138</v>
      </c>
      <c r="BU768">
        <v>6</v>
      </c>
      <c r="BW768">
        <v>0.75</v>
      </c>
      <c r="BX768" t="s">
        <v>2121</v>
      </c>
      <c r="BY768" t="s">
        <v>98</v>
      </c>
      <c r="BZ768" t="s">
        <v>2515</v>
      </c>
      <c r="CA768" t="s">
        <v>2516</v>
      </c>
      <c r="CB768" t="s">
        <v>163</v>
      </c>
      <c r="CC768">
        <v>158</v>
      </c>
      <c r="CD768">
        <v>0.51</v>
      </c>
      <c r="CE768">
        <v>61</v>
      </c>
      <c r="CF768">
        <v>4565.3900000000003</v>
      </c>
      <c r="CL768" t="s">
        <v>98</v>
      </c>
      <c r="CM768" t="s">
        <v>98</v>
      </c>
      <c r="CO768" s="1">
        <v>37398</v>
      </c>
      <c r="CP768" s="1">
        <v>43595</v>
      </c>
    </row>
    <row r="769" spans="1:94" x14ac:dyDescent="0.25">
      <c r="A769" s="4" t="s">
        <v>2517</v>
      </c>
      <c r="B769" t="str">
        <f xml:space="preserve"> "" &amp; 706411041389</f>
        <v>706411041389</v>
      </c>
      <c r="C769" t="s">
        <v>2178</v>
      </c>
      <c r="D769" t="s">
        <v>2512</v>
      </c>
      <c r="E769" t="s">
        <v>2513</v>
      </c>
      <c r="F769" t="s">
        <v>2113</v>
      </c>
      <c r="G769">
        <v>1</v>
      </c>
      <c r="H769">
        <v>1</v>
      </c>
      <c r="I769" t="s">
        <v>97</v>
      </c>
      <c r="J769" s="32">
        <v>49.5</v>
      </c>
      <c r="K769" s="32">
        <v>148.5</v>
      </c>
      <c r="L769">
        <v>0</v>
      </c>
      <c r="N769">
        <v>0</v>
      </c>
      <c r="S769">
        <v>12.25</v>
      </c>
      <c r="T769">
        <v>52</v>
      </c>
      <c r="U769">
        <v>52</v>
      </c>
      <c r="W769">
        <v>13.82</v>
      </c>
      <c r="X769">
        <v>1</v>
      </c>
      <c r="Y769">
        <v>8.07</v>
      </c>
      <c r="Z769">
        <v>22.05</v>
      </c>
      <c r="AA769">
        <v>11.81</v>
      </c>
      <c r="AB769">
        <v>1.216</v>
      </c>
      <c r="AC769">
        <v>15.85</v>
      </c>
      <c r="AK769" t="s">
        <v>98</v>
      </c>
      <c r="AM769" t="s">
        <v>98</v>
      </c>
      <c r="AN769" t="s">
        <v>98</v>
      </c>
      <c r="AO769" t="s">
        <v>291</v>
      </c>
      <c r="AP769" t="s">
        <v>99</v>
      </c>
      <c r="AQ769" t="s">
        <v>102</v>
      </c>
      <c r="AV769" t="s">
        <v>98</v>
      </c>
      <c r="AX769" t="s">
        <v>2505</v>
      </c>
      <c r="AZ769" t="s">
        <v>2235</v>
      </c>
      <c r="BC769" t="s">
        <v>485</v>
      </c>
      <c r="BF769" t="s">
        <v>2518</v>
      </c>
      <c r="BG769" t="s">
        <v>98</v>
      </c>
      <c r="BH769" t="s">
        <v>98</v>
      </c>
      <c r="BI769" t="s">
        <v>98</v>
      </c>
      <c r="BK769" t="s">
        <v>138</v>
      </c>
      <c r="BU769">
        <v>6</v>
      </c>
      <c r="BW769">
        <v>0.75</v>
      </c>
      <c r="BX769">
        <v>12</v>
      </c>
      <c r="BY769" t="s">
        <v>98</v>
      </c>
      <c r="BZ769" t="s">
        <v>2254</v>
      </c>
      <c r="CB769" t="s">
        <v>2505</v>
      </c>
      <c r="CC769">
        <v>158</v>
      </c>
      <c r="CD769">
        <v>0.51</v>
      </c>
      <c r="CE769">
        <v>61</v>
      </c>
      <c r="CF769">
        <v>4565.3900000000003</v>
      </c>
      <c r="CL769" t="s">
        <v>98</v>
      </c>
      <c r="CM769" t="s">
        <v>291</v>
      </c>
      <c r="CN769" t="s">
        <v>2519</v>
      </c>
      <c r="CO769" s="1">
        <v>40760</v>
      </c>
      <c r="CP769" s="1">
        <v>43595</v>
      </c>
    </row>
    <row r="770" spans="1:94" x14ac:dyDescent="0.25">
      <c r="A770" s="4" t="s">
        <v>2520</v>
      </c>
      <c r="B770" t="str">
        <f xml:space="preserve"> "" &amp; 706411010224</f>
        <v>706411010224</v>
      </c>
      <c r="C770" t="s">
        <v>2178</v>
      </c>
      <c r="D770" t="s">
        <v>2512</v>
      </c>
      <c r="E770" t="s">
        <v>2513</v>
      </c>
      <c r="F770" t="s">
        <v>2113</v>
      </c>
      <c r="G770">
        <v>1</v>
      </c>
      <c r="H770">
        <v>1</v>
      </c>
      <c r="I770" t="s">
        <v>97</v>
      </c>
      <c r="J770" s="32">
        <v>49.5</v>
      </c>
      <c r="K770" s="32">
        <v>148.5</v>
      </c>
      <c r="L770">
        <v>0</v>
      </c>
      <c r="N770">
        <v>0</v>
      </c>
      <c r="S770">
        <v>12.25</v>
      </c>
      <c r="T770">
        <v>52</v>
      </c>
      <c r="U770">
        <v>52</v>
      </c>
      <c r="W770">
        <v>13.82</v>
      </c>
      <c r="X770">
        <v>1</v>
      </c>
      <c r="Y770">
        <v>8.07</v>
      </c>
      <c r="Z770">
        <v>22.05</v>
      </c>
      <c r="AA770">
        <v>11.81</v>
      </c>
      <c r="AB770">
        <v>1.216</v>
      </c>
      <c r="AC770">
        <v>15.85</v>
      </c>
      <c r="AK770" t="s">
        <v>98</v>
      </c>
      <c r="AM770" t="s">
        <v>98</v>
      </c>
      <c r="AN770" t="s">
        <v>98</v>
      </c>
      <c r="AO770" t="s">
        <v>291</v>
      </c>
      <c r="AP770" t="s">
        <v>99</v>
      </c>
      <c r="AQ770" t="s">
        <v>102</v>
      </c>
      <c r="AV770" t="s">
        <v>98</v>
      </c>
      <c r="AX770" t="s">
        <v>245</v>
      </c>
      <c r="AZ770" t="s">
        <v>2235</v>
      </c>
      <c r="BC770" t="s">
        <v>485</v>
      </c>
      <c r="BF770" t="s">
        <v>2521</v>
      </c>
      <c r="BG770" t="s">
        <v>98</v>
      </c>
      <c r="BH770" t="s">
        <v>98</v>
      </c>
      <c r="BI770" t="s">
        <v>98</v>
      </c>
      <c r="BK770" t="s">
        <v>138</v>
      </c>
      <c r="BU770">
        <v>6</v>
      </c>
      <c r="BW770">
        <v>0.75</v>
      </c>
      <c r="BX770" t="s">
        <v>2443</v>
      </c>
      <c r="BY770" t="s">
        <v>98</v>
      </c>
      <c r="BZ770" t="s">
        <v>2159</v>
      </c>
      <c r="CA770" t="s">
        <v>2516</v>
      </c>
      <c r="CB770" t="s">
        <v>245</v>
      </c>
      <c r="CC770">
        <v>158</v>
      </c>
      <c r="CD770">
        <v>0.51</v>
      </c>
      <c r="CE770">
        <v>61</v>
      </c>
      <c r="CF770">
        <v>4565.3900000000003</v>
      </c>
      <c r="CL770" t="s">
        <v>98</v>
      </c>
      <c r="CM770" t="s">
        <v>98</v>
      </c>
      <c r="CO770" s="1">
        <v>37398</v>
      </c>
      <c r="CP770" s="1">
        <v>43595</v>
      </c>
    </row>
    <row r="771" spans="1:94" x14ac:dyDescent="0.25">
      <c r="A771" s="4" t="s">
        <v>2522</v>
      </c>
      <c r="B771" t="str">
        <f xml:space="preserve"> "" &amp; 706411200083</f>
        <v>706411200083</v>
      </c>
      <c r="C771" t="s">
        <v>2178</v>
      </c>
      <c r="D771" t="s">
        <v>2512</v>
      </c>
      <c r="E771" t="s">
        <v>2513</v>
      </c>
      <c r="F771" t="s">
        <v>2113</v>
      </c>
      <c r="G771">
        <v>1</v>
      </c>
      <c r="H771">
        <v>1</v>
      </c>
      <c r="I771" t="s">
        <v>97</v>
      </c>
      <c r="J771" s="32">
        <v>47.5</v>
      </c>
      <c r="K771" s="32">
        <v>142.5</v>
      </c>
      <c r="L771">
        <v>0</v>
      </c>
      <c r="N771">
        <v>0</v>
      </c>
      <c r="S771">
        <v>12.25</v>
      </c>
      <c r="T771">
        <v>52</v>
      </c>
      <c r="U771">
        <v>52</v>
      </c>
      <c r="W771">
        <v>13.82</v>
      </c>
      <c r="X771">
        <v>1</v>
      </c>
      <c r="Y771">
        <v>8.07</v>
      </c>
      <c r="Z771">
        <v>22.05</v>
      </c>
      <c r="AA771">
        <v>11.81</v>
      </c>
      <c r="AB771">
        <v>1.216</v>
      </c>
      <c r="AC771">
        <v>15.85</v>
      </c>
      <c r="AK771" t="s">
        <v>98</v>
      </c>
      <c r="AM771" t="s">
        <v>98</v>
      </c>
      <c r="AN771" t="s">
        <v>98</v>
      </c>
      <c r="AO771" t="s">
        <v>291</v>
      </c>
      <c r="AP771" t="s">
        <v>99</v>
      </c>
      <c r="AQ771" t="s">
        <v>102</v>
      </c>
      <c r="AV771" t="s">
        <v>98</v>
      </c>
      <c r="AX771" t="s">
        <v>302</v>
      </c>
      <c r="AZ771" t="s">
        <v>2235</v>
      </c>
      <c r="BC771" t="s">
        <v>485</v>
      </c>
      <c r="BF771" t="s">
        <v>2523</v>
      </c>
      <c r="BG771" t="s">
        <v>98</v>
      </c>
      <c r="BH771" t="s">
        <v>98</v>
      </c>
      <c r="BI771" t="s">
        <v>98</v>
      </c>
      <c r="BK771" t="s">
        <v>138</v>
      </c>
      <c r="BU771">
        <v>6</v>
      </c>
      <c r="BW771">
        <v>0.75</v>
      </c>
      <c r="BX771" t="s">
        <v>2443</v>
      </c>
      <c r="BY771" t="s">
        <v>98</v>
      </c>
      <c r="BZ771" t="s">
        <v>302</v>
      </c>
      <c r="CA771" t="s">
        <v>2516</v>
      </c>
      <c r="CB771" t="s">
        <v>302</v>
      </c>
      <c r="CC771">
        <v>158</v>
      </c>
      <c r="CD771">
        <v>0.51</v>
      </c>
      <c r="CE771">
        <v>61</v>
      </c>
      <c r="CF771">
        <v>4565.3900000000003</v>
      </c>
      <c r="CL771" t="s">
        <v>98</v>
      </c>
      <c r="CM771" t="s">
        <v>98</v>
      </c>
      <c r="CO771" s="1">
        <v>37398</v>
      </c>
      <c r="CP771" s="1">
        <v>43595</v>
      </c>
    </row>
    <row r="772" spans="1:94" x14ac:dyDescent="0.25">
      <c r="A772" s="4" t="s">
        <v>2529</v>
      </c>
      <c r="B772" t="str">
        <f xml:space="preserve"> "" &amp; 706411061554</f>
        <v>706411061554</v>
      </c>
      <c r="C772" t="s">
        <v>2140</v>
      </c>
      <c r="D772" t="s">
        <v>2530</v>
      </c>
      <c r="E772" t="s">
        <v>2526</v>
      </c>
      <c r="F772" t="s">
        <v>2113</v>
      </c>
      <c r="G772">
        <v>1</v>
      </c>
      <c r="H772">
        <v>1</v>
      </c>
      <c r="I772" t="s">
        <v>97</v>
      </c>
      <c r="J772" s="32">
        <v>69.95</v>
      </c>
      <c r="K772" s="32">
        <v>209.85</v>
      </c>
      <c r="L772">
        <v>0</v>
      </c>
      <c r="N772">
        <v>0</v>
      </c>
      <c r="S772">
        <v>18.75</v>
      </c>
      <c r="T772">
        <v>52</v>
      </c>
      <c r="U772">
        <v>52</v>
      </c>
      <c r="W772">
        <v>17.2</v>
      </c>
      <c r="X772">
        <v>1</v>
      </c>
      <c r="Y772">
        <v>9.5</v>
      </c>
      <c r="Z772">
        <v>25.13</v>
      </c>
      <c r="AA772">
        <v>13.13</v>
      </c>
      <c r="AB772">
        <v>1.8140000000000001</v>
      </c>
      <c r="AC772">
        <v>19.22</v>
      </c>
      <c r="AE772">
        <v>2</v>
      </c>
      <c r="AF772" t="s">
        <v>2531</v>
      </c>
      <c r="AG772">
        <v>9</v>
      </c>
      <c r="AK772" t="s">
        <v>291</v>
      </c>
      <c r="AM772" t="s">
        <v>98</v>
      </c>
      <c r="AN772" t="s">
        <v>98</v>
      </c>
      <c r="AO772" t="s">
        <v>291</v>
      </c>
      <c r="AP772" t="s">
        <v>99</v>
      </c>
      <c r="AQ772" t="s">
        <v>102</v>
      </c>
      <c r="AV772" t="s">
        <v>98</v>
      </c>
      <c r="AX772" t="s">
        <v>163</v>
      </c>
      <c r="AZ772" t="s">
        <v>109</v>
      </c>
      <c r="BB772" t="s">
        <v>106</v>
      </c>
      <c r="BC772" t="s">
        <v>2532</v>
      </c>
      <c r="BF772" t="s">
        <v>2533</v>
      </c>
      <c r="BG772" t="s">
        <v>98</v>
      </c>
      <c r="BH772" t="s">
        <v>98</v>
      </c>
      <c r="BI772" t="s">
        <v>98</v>
      </c>
      <c r="BK772" t="s">
        <v>138</v>
      </c>
      <c r="BU772">
        <v>4</v>
      </c>
      <c r="BW772">
        <v>0.75</v>
      </c>
      <c r="BX772">
        <v>11.5</v>
      </c>
      <c r="BY772" t="s">
        <v>291</v>
      </c>
      <c r="BZ772" t="s">
        <v>441</v>
      </c>
      <c r="CA772" t="s">
        <v>2534</v>
      </c>
      <c r="CB772" t="s">
        <v>163</v>
      </c>
      <c r="CC772">
        <v>149</v>
      </c>
      <c r="CD772">
        <v>0.51</v>
      </c>
      <c r="CE772">
        <v>61.63</v>
      </c>
      <c r="CF772">
        <v>3575</v>
      </c>
      <c r="CG772">
        <v>3000</v>
      </c>
      <c r="CH772">
        <v>91</v>
      </c>
      <c r="CI772">
        <v>1676.3</v>
      </c>
      <c r="CJ772">
        <v>1485.5</v>
      </c>
      <c r="CK772">
        <v>25000</v>
      </c>
      <c r="CL772" t="s">
        <v>291</v>
      </c>
      <c r="CM772" t="s">
        <v>291</v>
      </c>
      <c r="CN772" t="s">
        <v>349</v>
      </c>
      <c r="CO772" s="1">
        <v>43410</v>
      </c>
      <c r="CP772" s="1">
        <v>43595</v>
      </c>
    </row>
    <row r="773" spans="1:94" x14ac:dyDescent="0.25">
      <c r="A773" s="4" t="s">
        <v>2535</v>
      </c>
      <c r="B773" t="str">
        <f xml:space="preserve"> "" &amp; 706411061561</f>
        <v>706411061561</v>
      </c>
      <c r="C773" t="s">
        <v>2140</v>
      </c>
      <c r="D773" t="s">
        <v>2530</v>
      </c>
      <c r="E773" t="s">
        <v>2526</v>
      </c>
      <c r="F773" t="s">
        <v>2113</v>
      </c>
      <c r="G773">
        <v>1</v>
      </c>
      <c r="H773">
        <v>1</v>
      </c>
      <c r="I773" t="s">
        <v>97</v>
      </c>
      <c r="J773" s="32">
        <v>69.95</v>
      </c>
      <c r="K773" s="32">
        <v>209.85</v>
      </c>
      <c r="L773">
        <v>0</v>
      </c>
      <c r="N773">
        <v>0</v>
      </c>
      <c r="S773">
        <v>18.75</v>
      </c>
      <c r="T773">
        <v>52</v>
      </c>
      <c r="U773">
        <v>52</v>
      </c>
      <c r="W773">
        <v>17.2</v>
      </c>
      <c r="X773">
        <v>1</v>
      </c>
      <c r="Y773">
        <v>9.5</v>
      </c>
      <c r="Z773">
        <v>25.13</v>
      </c>
      <c r="AA773">
        <v>13.13</v>
      </c>
      <c r="AB773">
        <v>1.8140000000000001</v>
      </c>
      <c r="AC773">
        <v>19.22</v>
      </c>
      <c r="AE773">
        <v>2</v>
      </c>
      <c r="AF773" t="s">
        <v>2531</v>
      </c>
      <c r="AG773">
        <v>9</v>
      </c>
      <c r="AK773" t="s">
        <v>291</v>
      </c>
      <c r="AM773" t="s">
        <v>98</v>
      </c>
      <c r="AN773" t="s">
        <v>98</v>
      </c>
      <c r="AO773" t="s">
        <v>291</v>
      </c>
      <c r="AP773" t="s">
        <v>99</v>
      </c>
      <c r="AQ773" t="s">
        <v>102</v>
      </c>
      <c r="AV773" t="s">
        <v>98</v>
      </c>
      <c r="AX773" t="s">
        <v>2505</v>
      </c>
      <c r="AZ773" t="s">
        <v>109</v>
      </c>
      <c r="BB773" t="s">
        <v>106</v>
      </c>
      <c r="BC773" t="s">
        <v>2532</v>
      </c>
      <c r="BF773" t="s">
        <v>2536</v>
      </c>
      <c r="BG773" t="s">
        <v>98</v>
      </c>
      <c r="BH773" t="s">
        <v>98</v>
      </c>
      <c r="BI773" t="s">
        <v>98</v>
      </c>
      <c r="BK773" t="s">
        <v>138</v>
      </c>
      <c r="BU773">
        <v>4</v>
      </c>
      <c r="BW773">
        <v>0.75</v>
      </c>
      <c r="BX773">
        <v>11.5</v>
      </c>
      <c r="BY773" t="s">
        <v>291</v>
      </c>
      <c r="BZ773" t="s">
        <v>2254</v>
      </c>
      <c r="CA773" t="s">
        <v>2534</v>
      </c>
      <c r="CB773" t="s">
        <v>2505</v>
      </c>
      <c r="CC773">
        <v>149</v>
      </c>
      <c r="CD773">
        <v>0.51</v>
      </c>
      <c r="CE773">
        <v>61.63</v>
      </c>
      <c r="CF773">
        <v>3575</v>
      </c>
      <c r="CG773">
        <v>3000</v>
      </c>
      <c r="CH773">
        <v>91</v>
      </c>
      <c r="CI773">
        <v>1676.3</v>
      </c>
      <c r="CJ773">
        <v>1485.5</v>
      </c>
      <c r="CK773">
        <v>25000</v>
      </c>
      <c r="CL773" t="s">
        <v>291</v>
      </c>
      <c r="CM773" t="s">
        <v>291</v>
      </c>
      <c r="CN773" t="s">
        <v>349</v>
      </c>
      <c r="CO773" s="1">
        <v>43410</v>
      </c>
      <c r="CP773" s="1">
        <v>43595</v>
      </c>
    </row>
    <row r="774" spans="1:94" x14ac:dyDescent="0.25">
      <c r="A774" s="4" t="s">
        <v>2537</v>
      </c>
      <c r="B774" t="str">
        <f xml:space="preserve"> "" &amp; 706411061578</f>
        <v>706411061578</v>
      </c>
      <c r="C774" t="s">
        <v>2140</v>
      </c>
      <c r="D774" t="s">
        <v>2530</v>
      </c>
      <c r="E774" t="s">
        <v>2526</v>
      </c>
      <c r="F774" t="s">
        <v>2113</v>
      </c>
      <c r="G774">
        <v>1</v>
      </c>
      <c r="H774">
        <v>1</v>
      </c>
      <c r="I774" t="s">
        <v>97</v>
      </c>
      <c r="J774" s="32">
        <v>69.95</v>
      </c>
      <c r="K774" s="32">
        <v>209.85</v>
      </c>
      <c r="L774">
        <v>0</v>
      </c>
      <c r="N774">
        <v>0</v>
      </c>
      <c r="S774">
        <v>18.75</v>
      </c>
      <c r="T774">
        <v>52</v>
      </c>
      <c r="U774">
        <v>52</v>
      </c>
      <c r="W774">
        <v>17.2</v>
      </c>
      <c r="X774">
        <v>1</v>
      </c>
      <c r="Y774">
        <v>9.5</v>
      </c>
      <c r="Z774">
        <v>25.13</v>
      </c>
      <c r="AA774">
        <v>13.13</v>
      </c>
      <c r="AB774">
        <v>1.8140000000000001</v>
      </c>
      <c r="AC774">
        <v>19.22</v>
      </c>
      <c r="AE774">
        <v>2</v>
      </c>
      <c r="AF774" t="s">
        <v>2531</v>
      </c>
      <c r="AG774">
        <v>9</v>
      </c>
      <c r="AK774" t="s">
        <v>291</v>
      </c>
      <c r="AM774" t="s">
        <v>98</v>
      </c>
      <c r="AN774" t="s">
        <v>98</v>
      </c>
      <c r="AO774" t="s">
        <v>291</v>
      </c>
      <c r="AP774" t="s">
        <v>99</v>
      </c>
      <c r="AQ774" t="s">
        <v>102</v>
      </c>
      <c r="AV774" t="s">
        <v>98</v>
      </c>
      <c r="AX774" t="s">
        <v>245</v>
      </c>
      <c r="AZ774" t="s">
        <v>109</v>
      </c>
      <c r="BB774" t="s">
        <v>106</v>
      </c>
      <c r="BC774" t="s">
        <v>2532</v>
      </c>
      <c r="BF774" t="s">
        <v>2538</v>
      </c>
      <c r="BG774" t="s">
        <v>98</v>
      </c>
      <c r="BH774" t="s">
        <v>98</v>
      </c>
      <c r="BI774" t="s">
        <v>98</v>
      </c>
      <c r="BK774" t="s">
        <v>138</v>
      </c>
      <c r="BU774">
        <v>4</v>
      </c>
      <c r="BW774">
        <v>0.75</v>
      </c>
      <c r="BX774">
        <v>11.5</v>
      </c>
      <c r="BY774" t="s">
        <v>291</v>
      </c>
      <c r="BZ774" t="s">
        <v>2159</v>
      </c>
      <c r="CA774" t="s">
        <v>2534</v>
      </c>
      <c r="CB774" t="s">
        <v>245</v>
      </c>
      <c r="CC774">
        <v>149</v>
      </c>
      <c r="CD774">
        <v>0.51</v>
      </c>
      <c r="CE774">
        <v>61.63</v>
      </c>
      <c r="CF774">
        <v>3575</v>
      </c>
      <c r="CG774">
        <v>3000</v>
      </c>
      <c r="CH774">
        <v>91</v>
      </c>
      <c r="CI774">
        <v>1676.3</v>
      </c>
      <c r="CJ774">
        <v>1485.5</v>
      </c>
      <c r="CK774">
        <v>25000</v>
      </c>
      <c r="CL774" t="s">
        <v>291</v>
      </c>
      <c r="CM774" t="s">
        <v>291</v>
      </c>
      <c r="CN774" t="s">
        <v>349</v>
      </c>
      <c r="CO774" s="1">
        <v>43410</v>
      </c>
      <c r="CP774" s="1">
        <v>43595</v>
      </c>
    </row>
    <row r="775" spans="1:94" x14ac:dyDescent="0.25">
      <c r="A775" s="4" t="s">
        <v>2539</v>
      </c>
      <c r="B775" t="str">
        <f xml:space="preserve"> "" &amp; 706411061585</f>
        <v>706411061585</v>
      </c>
      <c r="C775" t="s">
        <v>2140</v>
      </c>
      <c r="D775" t="s">
        <v>2530</v>
      </c>
      <c r="E775" t="s">
        <v>2526</v>
      </c>
      <c r="F775" t="s">
        <v>2113</v>
      </c>
      <c r="G775">
        <v>1</v>
      </c>
      <c r="H775">
        <v>1</v>
      </c>
      <c r="I775" t="s">
        <v>97</v>
      </c>
      <c r="J775" s="32">
        <v>69.95</v>
      </c>
      <c r="K775" s="32">
        <v>209.85</v>
      </c>
      <c r="L775">
        <v>0</v>
      </c>
      <c r="N775">
        <v>0</v>
      </c>
      <c r="S775">
        <v>18.75</v>
      </c>
      <c r="T775">
        <v>52</v>
      </c>
      <c r="U775">
        <v>52</v>
      </c>
      <c r="W775">
        <v>17.2</v>
      </c>
      <c r="X775">
        <v>1</v>
      </c>
      <c r="Y775">
        <v>9.5</v>
      </c>
      <c r="Z775">
        <v>25.13</v>
      </c>
      <c r="AA775">
        <v>13.13</v>
      </c>
      <c r="AB775">
        <v>1.8140000000000001</v>
      </c>
      <c r="AC775">
        <v>19.22</v>
      </c>
      <c r="AE775">
        <v>2</v>
      </c>
      <c r="AF775" t="s">
        <v>2531</v>
      </c>
      <c r="AG775">
        <v>9</v>
      </c>
      <c r="AK775" t="s">
        <v>291</v>
      </c>
      <c r="AM775" t="s">
        <v>98</v>
      </c>
      <c r="AN775" t="s">
        <v>98</v>
      </c>
      <c r="AO775" t="s">
        <v>291</v>
      </c>
      <c r="AP775" t="s">
        <v>99</v>
      </c>
      <c r="AQ775" t="s">
        <v>102</v>
      </c>
      <c r="AV775" t="s">
        <v>98</v>
      </c>
      <c r="AX775" t="s">
        <v>245</v>
      </c>
      <c r="AZ775" t="s">
        <v>109</v>
      </c>
      <c r="BB775" t="s">
        <v>106</v>
      </c>
      <c r="BC775" t="s">
        <v>118</v>
      </c>
      <c r="BF775" t="s">
        <v>2540</v>
      </c>
      <c r="BG775" t="s">
        <v>98</v>
      </c>
      <c r="BH775" t="s">
        <v>98</v>
      </c>
      <c r="BI775" t="s">
        <v>98</v>
      </c>
      <c r="BK775" t="s">
        <v>138</v>
      </c>
      <c r="BU775">
        <v>4</v>
      </c>
      <c r="BW775">
        <v>0.75</v>
      </c>
      <c r="BX775">
        <v>11.5</v>
      </c>
      <c r="BY775" t="s">
        <v>291</v>
      </c>
      <c r="BZ775" t="s">
        <v>2159</v>
      </c>
      <c r="CA775" t="s">
        <v>2534</v>
      </c>
      <c r="CB775" t="s">
        <v>245</v>
      </c>
      <c r="CC775">
        <v>149</v>
      </c>
      <c r="CD775">
        <v>0.51</v>
      </c>
      <c r="CE775">
        <v>61.63</v>
      </c>
      <c r="CF775">
        <v>3575</v>
      </c>
      <c r="CG775">
        <v>3000</v>
      </c>
      <c r="CH775">
        <v>90</v>
      </c>
      <c r="CI775">
        <v>1676.3</v>
      </c>
      <c r="CJ775">
        <v>1181.3</v>
      </c>
      <c r="CK775">
        <v>25000</v>
      </c>
      <c r="CL775" t="s">
        <v>291</v>
      </c>
      <c r="CM775" t="s">
        <v>291</v>
      </c>
      <c r="CN775" t="s">
        <v>349</v>
      </c>
      <c r="CO775" s="1">
        <v>43410</v>
      </c>
      <c r="CP775" s="1">
        <v>43595</v>
      </c>
    </row>
    <row r="776" spans="1:94" x14ac:dyDescent="0.25">
      <c r="A776" s="4" t="s">
        <v>2541</v>
      </c>
      <c r="B776" t="str">
        <f xml:space="preserve"> "" &amp; 706411061592</f>
        <v>706411061592</v>
      </c>
      <c r="C776" t="s">
        <v>2140</v>
      </c>
      <c r="D776" t="s">
        <v>2530</v>
      </c>
      <c r="E776" t="s">
        <v>2526</v>
      </c>
      <c r="F776" t="s">
        <v>2113</v>
      </c>
      <c r="G776">
        <v>1</v>
      </c>
      <c r="H776">
        <v>1</v>
      </c>
      <c r="I776" t="s">
        <v>97</v>
      </c>
      <c r="J776" s="32">
        <v>69.95</v>
      </c>
      <c r="K776" s="32">
        <v>209.85</v>
      </c>
      <c r="L776">
        <v>0</v>
      </c>
      <c r="N776">
        <v>0</v>
      </c>
      <c r="S776">
        <v>18.75</v>
      </c>
      <c r="T776">
        <v>52</v>
      </c>
      <c r="U776">
        <v>52</v>
      </c>
      <c r="W776">
        <v>17.2</v>
      </c>
      <c r="X776">
        <v>1</v>
      </c>
      <c r="Y776">
        <v>9.5</v>
      </c>
      <c r="Z776">
        <v>25.13</v>
      </c>
      <c r="AA776">
        <v>13.13</v>
      </c>
      <c r="AB776">
        <v>1.8140000000000001</v>
      </c>
      <c r="AC776">
        <v>19.22</v>
      </c>
      <c r="AE776">
        <v>2</v>
      </c>
      <c r="AF776" t="s">
        <v>2531</v>
      </c>
      <c r="AG776">
        <v>9</v>
      </c>
      <c r="AK776" t="s">
        <v>291</v>
      </c>
      <c r="AM776" t="s">
        <v>98</v>
      </c>
      <c r="AN776" t="s">
        <v>98</v>
      </c>
      <c r="AO776" t="s">
        <v>291</v>
      </c>
      <c r="AP776" t="s">
        <v>99</v>
      </c>
      <c r="AQ776" t="s">
        <v>102</v>
      </c>
      <c r="AV776" t="s">
        <v>98</v>
      </c>
      <c r="AX776" t="s">
        <v>302</v>
      </c>
      <c r="AZ776" t="s">
        <v>109</v>
      </c>
      <c r="BB776" t="s">
        <v>106</v>
      </c>
      <c r="BC776" t="s">
        <v>2532</v>
      </c>
      <c r="BF776" t="s">
        <v>2542</v>
      </c>
      <c r="BG776" t="s">
        <v>98</v>
      </c>
      <c r="BH776" t="s">
        <v>98</v>
      </c>
      <c r="BI776" t="s">
        <v>98</v>
      </c>
      <c r="BK776" t="s">
        <v>138</v>
      </c>
      <c r="BU776">
        <v>4</v>
      </c>
      <c r="BW776">
        <v>0.75</v>
      </c>
      <c r="BX776">
        <v>11.5</v>
      </c>
      <c r="BY776" t="s">
        <v>291</v>
      </c>
      <c r="BZ776" t="s">
        <v>302</v>
      </c>
      <c r="CA776" t="s">
        <v>2534</v>
      </c>
      <c r="CB776" t="s">
        <v>302</v>
      </c>
      <c r="CC776">
        <v>149</v>
      </c>
      <c r="CD776">
        <v>0.51</v>
      </c>
      <c r="CE776">
        <v>61.63</v>
      </c>
      <c r="CF776">
        <v>3575</v>
      </c>
      <c r="CG776">
        <v>3000</v>
      </c>
      <c r="CH776">
        <v>90</v>
      </c>
      <c r="CI776">
        <v>1676.3</v>
      </c>
      <c r="CJ776">
        <v>1485.5</v>
      </c>
      <c r="CK776">
        <v>25000</v>
      </c>
      <c r="CL776" t="s">
        <v>291</v>
      </c>
      <c r="CM776" t="s">
        <v>291</v>
      </c>
      <c r="CN776" t="s">
        <v>349</v>
      </c>
      <c r="CO776" s="1">
        <v>43410</v>
      </c>
      <c r="CP776" s="1">
        <v>43595</v>
      </c>
    </row>
    <row r="777" spans="1:94" x14ac:dyDescent="0.25">
      <c r="A777" s="4" t="s">
        <v>2524</v>
      </c>
      <c r="B777" t="str">
        <f xml:space="preserve"> "" &amp; 706411029790</f>
        <v>706411029790</v>
      </c>
      <c r="C777" t="s">
        <v>2178</v>
      </c>
      <c r="D777" t="s">
        <v>2525</v>
      </c>
      <c r="E777" t="s">
        <v>2526</v>
      </c>
      <c r="F777" t="s">
        <v>2113</v>
      </c>
      <c r="G777">
        <v>1</v>
      </c>
      <c r="H777">
        <v>1</v>
      </c>
      <c r="I777" t="s">
        <v>97</v>
      </c>
      <c r="J777" s="32">
        <v>69.95</v>
      </c>
      <c r="K777" s="32">
        <v>209.85</v>
      </c>
      <c r="L777">
        <v>0</v>
      </c>
      <c r="N777">
        <v>0</v>
      </c>
      <c r="S777">
        <v>17.25</v>
      </c>
      <c r="T777">
        <v>52</v>
      </c>
      <c r="U777">
        <v>52</v>
      </c>
      <c r="W777">
        <v>17.2</v>
      </c>
      <c r="X777">
        <v>1</v>
      </c>
      <c r="Y777">
        <v>9.5</v>
      </c>
      <c r="Z777">
        <v>25.13</v>
      </c>
      <c r="AA777">
        <v>13.13</v>
      </c>
      <c r="AB777">
        <v>1.8140000000000001</v>
      </c>
      <c r="AC777">
        <v>19.22</v>
      </c>
      <c r="AE777">
        <v>3</v>
      </c>
      <c r="AF777" t="s">
        <v>2495</v>
      </c>
      <c r="AG777">
        <v>60</v>
      </c>
      <c r="AK777" t="s">
        <v>291</v>
      </c>
      <c r="AM777" t="s">
        <v>98</v>
      </c>
      <c r="AN777" t="s">
        <v>98</v>
      </c>
      <c r="AO777" t="s">
        <v>291</v>
      </c>
      <c r="AP777" t="s">
        <v>99</v>
      </c>
      <c r="AQ777" t="s">
        <v>102</v>
      </c>
      <c r="AV777" t="s">
        <v>98</v>
      </c>
      <c r="AX777" t="s">
        <v>245</v>
      </c>
      <c r="AZ777" t="s">
        <v>2235</v>
      </c>
      <c r="BB777" t="s">
        <v>54</v>
      </c>
      <c r="BC777" t="s">
        <v>2527</v>
      </c>
      <c r="BF777" t="s">
        <v>2528</v>
      </c>
      <c r="BG777" t="s">
        <v>98</v>
      </c>
      <c r="BH777" t="s">
        <v>98</v>
      </c>
      <c r="BI777" t="s">
        <v>98</v>
      </c>
      <c r="BK777" t="s">
        <v>138</v>
      </c>
      <c r="BU777">
        <v>6</v>
      </c>
      <c r="BW777">
        <v>0.75</v>
      </c>
      <c r="BX777" t="s">
        <v>2443</v>
      </c>
      <c r="BY777" t="s">
        <v>291</v>
      </c>
      <c r="BZ777" t="s">
        <v>2159</v>
      </c>
      <c r="CA777" t="s">
        <v>1651</v>
      </c>
      <c r="CB777" t="s">
        <v>245</v>
      </c>
      <c r="CC777">
        <v>162</v>
      </c>
      <c r="CD777">
        <v>0.53</v>
      </c>
      <c r="CE777">
        <v>63.5</v>
      </c>
      <c r="CF777">
        <v>4635.95</v>
      </c>
      <c r="CL777" t="s">
        <v>291</v>
      </c>
      <c r="CM777" t="s">
        <v>291</v>
      </c>
      <c r="CO777" s="1">
        <v>37398</v>
      </c>
      <c r="CP777" s="1">
        <v>43595</v>
      </c>
    </row>
    <row r="778" spans="1:94" x14ac:dyDescent="0.25">
      <c r="A778" s="4" t="s">
        <v>2543</v>
      </c>
      <c r="B778" t="str">
        <f xml:space="preserve"> "" &amp; 706411052514</f>
        <v>706411052514</v>
      </c>
      <c r="C778" t="s">
        <v>2178</v>
      </c>
      <c r="D778" t="s">
        <v>2544</v>
      </c>
      <c r="E778" t="s">
        <v>2545</v>
      </c>
      <c r="F778" t="s">
        <v>2113</v>
      </c>
      <c r="G778">
        <v>1</v>
      </c>
      <c r="H778">
        <v>1</v>
      </c>
      <c r="I778" t="s">
        <v>97</v>
      </c>
      <c r="J778" s="32">
        <v>49.5</v>
      </c>
      <c r="K778" s="32">
        <v>148.5</v>
      </c>
      <c r="L778">
        <v>0</v>
      </c>
      <c r="N778">
        <v>0</v>
      </c>
      <c r="S778">
        <v>12.25</v>
      </c>
      <c r="T778">
        <v>52</v>
      </c>
      <c r="U778">
        <v>52</v>
      </c>
      <c r="W778">
        <v>14.48</v>
      </c>
      <c r="X778">
        <v>1</v>
      </c>
      <c r="Y778">
        <v>9.25</v>
      </c>
      <c r="Z778">
        <v>22</v>
      </c>
      <c r="AA778">
        <v>12.5</v>
      </c>
      <c r="AB778">
        <v>1.472</v>
      </c>
      <c r="AC778">
        <v>17.28</v>
      </c>
      <c r="AK778" t="s">
        <v>98</v>
      </c>
      <c r="AM778" t="s">
        <v>98</v>
      </c>
      <c r="AN778" t="s">
        <v>291</v>
      </c>
      <c r="AO778" t="s">
        <v>98</v>
      </c>
      <c r="AP778" t="s">
        <v>99</v>
      </c>
      <c r="AQ778" t="s">
        <v>102</v>
      </c>
      <c r="AV778" t="s">
        <v>98</v>
      </c>
      <c r="AX778" t="s">
        <v>150</v>
      </c>
      <c r="AZ778" t="s">
        <v>2118</v>
      </c>
      <c r="BF778" t="s">
        <v>2546</v>
      </c>
      <c r="BG778" t="s">
        <v>98</v>
      </c>
      <c r="BH778" t="s">
        <v>98</v>
      </c>
      <c r="BI778" t="s">
        <v>98</v>
      </c>
      <c r="BK778" t="s">
        <v>138</v>
      </c>
      <c r="BU778">
        <v>6</v>
      </c>
      <c r="BW778">
        <v>0.75</v>
      </c>
      <c r="BX778" t="s">
        <v>2121</v>
      </c>
      <c r="BZ778" t="s">
        <v>2515</v>
      </c>
      <c r="CA778" t="s">
        <v>2547</v>
      </c>
      <c r="CB778" t="s">
        <v>150</v>
      </c>
      <c r="CC778">
        <v>183</v>
      </c>
      <c r="CD778">
        <v>0.56000000000000005</v>
      </c>
      <c r="CE778">
        <v>66.5</v>
      </c>
      <c r="CF778">
        <v>5966</v>
      </c>
      <c r="CL778" t="s">
        <v>98</v>
      </c>
      <c r="CM778" t="s">
        <v>291</v>
      </c>
      <c r="CO778" s="1">
        <v>42014</v>
      </c>
      <c r="CP778" s="1">
        <v>43595</v>
      </c>
    </row>
    <row r="779" spans="1:94" x14ac:dyDescent="0.25">
      <c r="A779" s="4" t="s">
        <v>2548</v>
      </c>
      <c r="B779" t="str">
        <f xml:space="preserve"> "" &amp; 706411052507</f>
        <v>706411052507</v>
      </c>
      <c r="C779" t="s">
        <v>2178</v>
      </c>
      <c r="D779" t="s">
        <v>2544</v>
      </c>
      <c r="E779" t="s">
        <v>2545</v>
      </c>
      <c r="F779" t="s">
        <v>2113</v>
      </c>
      <c r="G779">
        <v>1</v>
      </c>
      <c r="H779">
        <v>1</v>
      </c>
      <c r="I779" t="s">
        <v>97</v>
      </c>
      <c r="J779" s="32">
        <v>49.5</v>
      </c>
      <c r="K779" s="32">
        <v>148.5</v>
      </c>
      <c r="L779">
        <v>0</v>
      </c>
      <c r="N779">
        <v>0</v>
      </c>
      <c r="S779">
        <v>12.25</v>
      </c>
      <c r="T779">
        <v>52</v>
      </c>
      <c r="U779">
        <v>52</v>
      </c>
      <c r="W779">
        <v>14.48</v>
      </c>
      <c r="X779">
        <v>1</v>
      </c>
      <c r="Y779">
        <v>9.25</v>
      </c>
      <c r="Z779">
        <v>22</v>
      </c>
      <c r="AA779">
        <v>12.5</v>
      </c>
      <c r="AB779">
        <v>1.472</v>
      </c>
      <c r="AC779">
        <v>17.28</v>
      </c>
      <c r="AK779" t="s">
        <v>98</v>
      </c>
      <c r="AM779" t="s">
        <v>98</v>
      </c>
      <c r="AN779" t="s">
        <v>291</v>
      </c>
      <c r="AO779" t="s">
        <v>98</v>
      </c>
      <c r="AP779" t="s">
        <v>99</v>
      </c>
      <c r="AQ779" t="s">
        <v>102</v>
      </c>
      <c r="AV779" t="s">
        <v>98</v>
      </c>
      <c r="AX779" t="s">
        <v>150</v>
      </c>
      <c r="AZ779" t="s">
        <v>2118</v>
      </c>
      <c r="BF779" t="s">
        <v>2549</v>
      </c>
      <c r="BG779" t="s">
        <v>98</v>
      </c>
      <c r="BH779" t="s">
        <v>98</v>
      </c>
      <c r="BI779" t="s">
        <v>98</v>
      </c>
      <c r="BK779" t="s">
        <v>138</v>
      </c>
      <c r="BU779">
        <v>6</v>
      </c>
      <c r="BW779">
        <v>0.75</v>
      </c>
      <c r="BX779" t="s">
        <v>2121</v>
      </c>
      <c r="BZ779" t="s">
        <v>2426</v>
      </c>
      <c r="CA779" t="s">
        <v>2547</v>
      </c>
      <c r="CB779" t="s">
        <v>150</v>
      </c>
      <c r="CC779">
        <v>183</v>
      </c>
      <c r="CD779">
        <v>0.56000000000000005</v>
      </c>
      <c r="CE779">
        <v>66.5</v>
      </c>
      <c r="CF779">
        <v>5966</v>
      </c>
      <c r="CL779" t="s">
        <v>98</v>
      </c>
      <c r="CM779" t="s">
        <v>291</v>
      </c>
      <c r="CO779" s="1">
        <v>42014</v>
      </c>
      <c r="CP779" s="1">
        <v>43595</v>
      </c>
    </row>
    <row r="780" spans="1:94" x14ac:dyDescent="0.25">
      <c r="A780" s="4" t="s">
        <v>2550</v>
      </c>
      <c r="B780" t="str">
        <f xml:space="preserve"> "" &amp; 706411061905</f>
        <v>706411061905</v>
      </c>
      <c r="C780" t="s">
        <v>2115</v>
      </c>
      <c r="D780" t="s">
        <v>2544</v>
      </c>
      <c r="E780" t="s">
        <v>2545</v>
      </c>
      <c r="F780" t="s">
        <v>2113</v>
      </c>
      <c r="G780">
        <v>1</v>
      </c>
      <c r="H780">
        <v>1</v>
      </c>
      <c r="I780" t="s">
        <v>97</v>
      </c>
      <c r="J780" s="32">
        <v>64.5</v>
      </c>
      <c r="K780" s="32">
        <v>193.5</v>
      </c>
      <c r="L780">
        <v>0</v>
      </c>
      <c r="N780">
        <v>0</v>
      </c>
      <c r="S780">
        <v>12.25</v>
      </c>
      <c r="T780">
        <v>52</v>
      </c>
      <c r="U780">
        <v>52</v>
      </c>
      <c r="W780">
        <v>14.48</v>
      </c>
      <c r="X780">
        <v>1</v>
      </c>
      <c r="Y780">
        <v>9.25</v>
      </c>
      <c r="Z780">
        <v>22</v>
      </c>
      <c r="AA780">
        <v>12.5</v>
      </c>
      <c r="AB780">
        <v>1.472</v>
      </c>
      <c r="AC780">
        <v>17.28</v>
      </c>
      <c r="AK780" t="s">
        <v>98</v>
      </c>
      <c r="AM780" t="s">
        <v>98</v>
      </c>
      <c r="AN780" t="s">
        <v>291</v>
      </c>
      <c r="AO780" t="s">
        <v>98</v>
      </c>
      <c r="AP780" t="s">
        <v>99</v>
      </c>
      <c r="AQ780" t="s">
        <v>102</v>
      </c>
      <c r="AV780" t="s">
        <v>98</v>
      </c>
      <c r="AX780" t="s">
        <v>154</v>
      </c>
      <c r="AZ780" t="s">
        <v>535</v>
      </c>
      <c r="BF780" t="s">
        <v>2551</v>
      </c>
      <c r="BG780" t="s">
        <v>98</v>
      </c>
      <c r="BH780" t="s">
        <v>98</v>
      </c>
      <c r="BI780" t="s">
        <v>98</v>
      </c>
      <c r="BK780" t="s">
        <v>138</v>
      </c>
      <c r="BU780">
        <v>6</v>
      </c>
      <c r="BW780">
        <v>0.75</v>
      </c>
      <c r="BX780" t="s">
        <v>2121</v>
      </c>
      <c r="BZ780" t="s">
        <v>2135</v>
      </c>
      <c r="CA780" t="s">
        <v>2547</v>
      </c>
      <c r="CB780" t="s">
        <v>154</v>
      </c>
      <c r="CC780">
        <v>196</v>
      </c>
      <c r="CD780">
        <v>0.56999999999999995</v>
      </c>
      <c r="CE780">
        <v>67.5</v>
      </c>
      <c r="CF780">
        <v>5450</v>
      </c>
      <c r="CL780" t="s">
        <v>98</v>
      </c>
      <c r="CM780" t="s">
        <v>291</v>
      </c>
      <c r="CN780" t="s">
        <v>2552</v>
      </c>
      <c r="CO780" s="1">
        <v>43539</v>
      </c>
      <c r="CP780" s="1">
        <v>43595</v>
      </c>
    </row>
    <row r="781" spans="1:94" x14ac:dyDescent="0.25">
      <c r="A781" s="4" t="s">
        <v>2553</v>
      </c>
      <c r="B781" t="str">
        <f xml:space="preserve"> "" &amp; 706411061912</f>
        <v>706411061912</v>
      </c>
      <c r="C781" t="s">
        <v>2115</v>
      </c>
      <c r="D781" t="s">
        <v>2544</v>
      </c>
      <c r="E781" t="s">
        <v>2545</v>
      </c>
      <c r="F781" t="s">
        <v>2113</v>
      </c>
      <c r="G781">
        <v>1</v>
      </c>
      <c r="H781">
        <v>1</v>
      </c>
      <c r="I781" t="s">
        <v>97</v>
      </c>
      <c r="J781" s="32">
        <v>64.5</v>
      </c>
      <c r="K781" s="32">
        <v>193.5</v>
      </c>
      <c r="L781">
        <v>0</v>
      </c>
      <c r="N781">
        <v>0</v>
      </c>
      <c r="S781">
        <v>12.25</v>
      </c>
      <c r="T781">
        <v>52</v>
      </c>
      <c r="U781">
        <v>52</v>
      </c>
      <c r="W781">
        <v>14.48</v>
      </c>
      <c r="X781">
        <v>1</v>
      </c>
      <c r="Y781">
        <v>9.25</v>
      </c>
      <c r="Z781">
        <v>22</v>
      </c>
      <c r="AA781">
        <v>12.5</v>
      </c>
      <c r="AB781">
        <v>1.472</v>
      </c>
      <c r="AC781">
        <v>17.28</v>
      </c>
      <c r="AK781" t="s">
        <v>98</v>
      </c>
      <c r="AM781" t="s">
        <v>98</v>
      </c>
      <c r="AN781" t="s">
        <v>291</v>
      </c>
      <c r="AO781" t="s">
        <v>98</v>
      </c>
      <c r="AP781" t="s">
        <v>99</v>
      </c>
      <c r="AQ781" t="s">
        <v>102</v>
      </c>
      <c r="AV781" t="s">
        <v>98</v>
      </c>
      <c r="AX781" t="s">
        <v>209</v>
      </c>
      <c r="AZ781" t="s">
        <v>535</v>
      </c>
      <c r="BF781" t="s">
        <v>2554</v>
      </c>
      <c r="BG781" t="s">
        <v>98</v>
      </c>
      <c r="BH781" t="s">
        <v>98</v>
      </c>
      <c r="BI781" t="s">
        <v>98</v>
      </c>
      <c r="BK781" t="s">
        <v>138</v>
      </c>
      <c r="BU781">
        <v>6</v>
      </c>
      <c r="BW781">
        <v>0.75</v>
      </c>
      <c r="BX781" t="s">
        <v>2121</v>
      </c>
      <c r="BZ781" t="s">
        <v>2138</v>
      </c>
      <c r="CA781" t="s">
        <v>2547</v>
      </c>
      <c r="CB781" t="s">
        <v>209</v>
      </c>
      <c r="CC781">
        <v>196</v>
      </c>
      <c r="CD781">
        <v>0.56999999999999995</v>
      </c>
      <c r="CE781">
        <v>67.5</v>
      </c>
      <c r="CF781">
        <v>5450</v>
      </c>
      <c r="CL781" t="s">
        <v>98</v>
      </c>
      <c r="CM781" t="s">
        <v>291</v>
      </c>
      <c r="CN781" t="s">
        <v>2552</v>
      </c>
      <c r="CO781" s="1">
        <v>43539</v>
      </c>
      <c r="CP781" s="1">
        <v>43595</v>
      </c>
    </row>
    <row r="782" spans="1:94" x14ac:dyDescent="0.25">
      <c r="A782" s="4" t="s">
        <v>2559</v>
      </c>
      <c r="B782" t="str">
        <f xml:space="preserve"> "" &amp; 706411053535</f>
        <v>706411053535</v>
      </c>
      <c r="C782" t="s">
        <v>2126</v>
      </c>
      <c r="D782" t="s">
        <v>2560</v>
      </c>
      <c r="E782" t="s">
        <v>2561</v>
      </c>
      <c r="F782" t="s">
        <v>2113</v>
      </c>
      <c r="G782">
        <v>1</v>
      </c>
      <c r="H782">
        <v>1</v>
      </c>
      <c r="I782" t="s">
        <v>97</v>
      </c>
      <c r="J782" s="32">
        <v>99.95</v>
      </c>
      <c r="K782" s="32">
        <v>299.85000000000002</v>
      </c>
      <c r="L782">
        <v>0</v>
      </c>
      <c r="N782">
        <v>0</v>
      </c>
      <c r="Q782" t="s">
        <v>291</v>
      </c>
      <c r="R782" s="32">
        <v>149.94999999999999</v>
      </c>
      <c r="S782">
        <v>13.25</v>
      </c>
      <c r="T782">
        <v>52</v>
      </c>
      <c r="U782">
        <v>52</v>
      </c>
      <c r="W782">
        <v>14.55</v>
      </c>
      <c r="X782">
        <v>1</v>
      </c>
      <c r="Y782">
        <v>9.25</v>
      </c>
      <c r="Z782">
        <v>22</v>
      </c>
      <c r="AA782">
        <v>12.5</v>
      </c>
      <c r="AB782">
        <v>1.472</v>
      </c>
      <c r="AC782">
        <v>17.86</v>
      </c>
      <c r="AE782">
        <v>1</v>
      </c>
      <c r="AF782" t="s">
        <v>2141</v>
      </c>
      <c r="AG782">
        <v>16</v>
      </c>
      <c r="AK782" t="s">
        <v>291</v>
      </c>
      <c r="AM782" t="s">
        <v>98</v>
      </c>
      <c r="AN782" t="s">
        <v>291</v>
      </c>
      <c r="AO782" t="s">
        <v>98</v>
      </c>
      <c r="AP782" t="s">
        <v>99</v>
      </c>
      <c r="AQ782" t="s">
        <v>102</v>
      </c>
      <c r="AV782" t="s">
        <v>98</v>
      </c>
      <c r="AX782" t="s">
        <v>150</v>
      </c>
      <c r="AZ782" t="s">
        <v>2118</v>
      </c>
      <c r="BB782" t="s">
        <v>2119</v>
      </c>
      <c r="BC782" t="s">
        <v>2120</v>
      </c>
      <c r="BF782" t="s">
        <v>2562</v>
      </c>
      <c r="BG782" t="s">
        <v>98</v>
      </c>
      <c r="BH782" t="s">
        <v>98</v>
      </c>
      <c r="BI782" t="s">
        <v>98</v>
      </c>
      <c r="BK782" t="s">
        <v>138</v>
      </c>
      <c r="BU782">
        <v>6</v>
      </c>
      <c r="BW782">
        <v>0.75</v>
      </c>
      <c r="BX782" t="s">
        <v>2121</v>
      </c>
      <c r="BY782" t="s">
        <v>291</v>
      </c>
      <c r="BZ782" t="s">
        <v>2515</v>
      </c>
      <c r="CA782" t="s">
        <v>2563</v>
      </c>
      <c r="CB782" t="s">
        <v>150</v>
      </c>
      <c r="CC782">
        <v>196</v>
      </c>
      <c r="CD782">
        <v>0.56999999999999995</v>
      </c>
      <c r="CE782">
        <v>67.28</v>
      </c>
      <c r="CF782">
        <v>5450</v>
      </c>
      <c r="CG782">
        <v>3000</v>
      </c>
      <c r="CH782">
        <v>95</v>
      </c>
      <c r="CI782">
        <v>1201.5999999999999</v>
      </c>
      <c r="CJ782">
        <v>896.3</v>
      </c>
      <c r="CK782">
        <v>30000</v>
      </c>
      <c r="CL782" t="s">
        <v>291</v>
      </c>
      <c r="CM782" t="s">
        <v>291</v>
      </c>
      <c r="CN782" t="s">
        <v>2552</v>
      </c>
      <c r="CO782" s="1">
        <v>42136</v>
      </c>
      <c r="CP782" s="1">
        <v>43595</v>
      </c>
    </row>
    <row r="783" spans="1:94" x14ac:dyDescent="0.25">
      <c r="A783" s="4" t="s">
        <v>2564</v>
      </c>
      <c r="B783" t="str">
        <f xml:space="preserve"> "" &amp; 706411053542</f>
        <v>706411053542</v>
      </c>
      <c r="C783" t="s">
        <v>2126</v>
      </c>
      <c r="D783" t="s">
        <v>2560</v>
      </c>
      <c r="E783" t="s">
        <v>2561</v>
      </c>
      <c r="F783" t="s">
        <v>2113</v>
      </c>
      <c r="G783">
        <v>1</v>
      </c>
      <c r="H783">
        <v>1</v>
      </c>
      <c r="I783" t="s">
        <v>97</v>
      </c>
      <c r="J783" s="32">
        <v>99.95</v>
      </c>
      <c r="K783" s="32">
        <v>299.85000000000002</v>
      </c>
      <c r="L783">
        <v>0</v>
      </c>
      <c r="N783">
        <v>0</v>
      </c>
      <c r="Q783" t="s">
        <v>291</v>
      </c>
      <c r="R783" s="32">
        <v>149.94999999999999</v>
      </c>
      <c r="S783">
        <v>13.25</v>
      </c>
      <c r="T783">
        <v>52</v>
      </c>
      <c r="U783">
        <v>52</v>
      </c>
      <c r="W783">
        <v>14.55</v>
      </c>
      <c r="X783">
        <v>1</v>
      </c>
      <c r="Y783">
        <v>9.25</v>
      </c>
      <c r="Z783">
        <v>22</v>
      </c>
      <c r="AA783">
        <v>12.5</v>
      </c>
      <c r="AB783">
        <v>1.472</v>
      </c>
      <c r="AC783">
        <v>17.86</v>
      </c>
      <c r="AE783">
        <v>1</v>
      </c>
      <c r="AF783" t="s">
        <v>2141</v>
      </c>
      <c r="AG783">
        <v>16</v>
      </c>
      <c r="AK783" t="s">
        <v>291</v>
      </c>
      <c r="AM783" t="s">
        <v>98</v>
      </c>
      <c r="AN783" t="s">
        <v>291</v>
      </c>
      <c r="AO783" t="s">
        <v>98</v>
      </c>
      <c r="AP783" t="s">
        <v>99</v>
      </c>
      <c r="AQ783" t="s">
        <v>102</v>
      </c>
      <c r="AV783" t="s">
        <v>98</v>
      </c>
      <c r="AX783" t="s">
        <v>2565</v>
      </c>
      <c r="AZ783" t="s">
        <v>2118</v>
      </c>
      <c r="BB783" t="s">
        <v>2119</v>
      </c>
      <c r="BC783" t="s">
        <v>2120</v>
      </c>
      <c r="BF783" t="s">
        <v>2566</v>
      </c>
      <c r="BG783" t="s">
        <v>98</v>
      </c>
      <c r="BH783" t="s">
        <v>98</v>
      </c>
      <c r="BI783" t="s">
        <v>98</v>
      </c>
      <c r="BK783" t="s">
        <v>138</v>
      </c>
      <c r="BU783">
        <v>6</v>
      </c>
      <c r="BW783">
        <v>0.75</v>
      </c>
      <c r="BX783" t="s">
        <v>2121</v>
      </c>
      <c r="BY783" t="s">
        <v>291</v>
      </c>
      <c r="BZ783" t="s">
        <v>2567</v>
      </c>
      <c r="CA783" t="s">
        <v>2563</v>
      </c>
      <c r="CB783" t="s">
        <v>2565</v>
      </c>
      <c r="CC783">
        <v>196</v>
      </c>
      <c r="CD783">
        <v>0.56999999999999995</v>
      </c>
      <c r="CE783">
        <v>67.28</v>
      </c>
      <c r="CF783">
        <v>5450</v>
      </c>
      <c r="CG783">
        <v>3000</v>
      </c>
      <c r="CH783">
        <v>95</v>
      </c>
      <c r="CI783">
        <v>1201.5999999999999</v>
      </c>
      <c r="CJ783">
        <v>896.3</v>
      </c>
      <c r="CK783">
        <v>30000</v>
      </c>
      <c r="CL783" t="s">
        <v>291</v>
      </c>
      <c r="CM783" t="s">
        <v>291</v>
      </c>
      <c r="CN783" t="s">
        <v>2552</v>
      </c>
      <c r="CO783" s="1">
        <v>42136</v>
      </c>
      <c r="CP783" s="1">
        <v>43595</v>
      </c>
    </row>
    <row r="784" spans="1:94" x14ac:dyDescent="0.25">
      <c r="A784" s="4" t="s">
        <v>2568</v>
      </c>
      <c r="B784" t="str">
        <f xml:space="preserve"> "" &amp; 706411062056</f>
        <v>706411062056</v>
      </c>
      <c r="C784" t="s">
        <v>2126</v>
      </c>
      <c r="D784" t="s">
        <v>2560</v>
      </c>
      <c r="E784" t="s">
        <v>2561</v>
      </c>
      <c r="F784" t="s">
        <v>2113</v>
      </c>
      <c r="G784">
        <v>1</v>
      </c>
      <c r="H784">
        <v>1</v>
      </c>
      <c r="I784" t="s">
        <v>97</v>
      </c>
      <c r="J784" s="32">
        <v>114.95</v>
      </c>
      <c r="K784" s="32">
        <v>344.85</v>
      </c>
      <c r="L784">
        <v>0</v>
      </c>
      <c r="N784">
        <v>0</v>
      </c>
      <c r="Q784" t="s">
        <v>291</v>
      </c>
      <c r="R784" s="32">
        <v>159.94999999999999</v>
      </c>
      <c r="S784">
        <v>13.25</v>
      </c>
      <c r="T784">
        <v>52</v>
      </c>
      <c r="U784">
        <v>52</v>
      </c>
      <c r="W784">
        <v>14.55</v>
      </c>
      <c r="X784">
        <v>1</v>
      </c>
      <c r="Y784">
        <v>9.25</v>
      </c>
      <c r="Z784">
        <v>22</v>
      </c>
      <c r="AA784">
        <v>12.5</v>
      </c>
      <c r="AB784">
        <v>1.472</v>
      </c>
      <c r="AC784">
        <v>17.86</v>
      </c>
      <c r="AE784">
        <v>1</v>
      </c>
      <c r="AF784" t="s">
        <v>2128</v>
      </c>
      <c r="AG784">
        <v>16</v>
      </c>
      <c r="AK784" t="s">
        <v>291</v>
      </c>
      <c r="AM784" t="s">
        <v>98</v>
      </c>
      <c r="AN784" t="s">
        <v>291</v>
      </c>
      <c r="AO784" t="s">
        <v>98</v>
      </c>
      <c r="AP784" t="s">
        <v>99</v>
      </c>
      <c r="AQ784" t="s">
        <v>102</v>
      </c>
      <c r="AV784" t="s">
        <v>98</v>
      </c>
      <c r="AX784" t="s">
        <v>154</v>
      </c>
      <c r="AZ784" t="s">
        <v>535</v>
      </c>
      <c r="BC784" t="s">
        <v>2120</v>
      </c>
      <c r="BF784" t="s">
        <v>2569</v>
      </c>
      <c r="BG784" t="s">
        <v>98</v>
      </c>
      <c r="BH784" t="s">
        <v>98</v>
      </c>
      <c r="BI784" t="s">
        <v>98</v>
      </c>
      <c r="BK784" t="s">
        <v>138</v>
      </c>
      <c r="BU784">
        <v>6</v>
      </c>
      <c r="BW784">
        <v>0.75</v>
      </c>
      <c r="BX784" t="s">
        <v>2121</v>
      </c>
      <c r="BY784" t="s">
        <v>291</v>
      </c>
      <c r="BZ784" t="s">
        <v>2135</v>
      </c>
      <c r="CA784" t="s">
        <v>2563</v>
      </c>
      <c r="CB784" t="s">
        <v>154</v>
      </c>
      <c r="CC784">
        <v>196</v>
      </c>
      <c r="CD784">
        <v>0.56999999999999995</v>
      </c>
      <c r="CE784">
        <v>67.5</v>
      </c>
      <c r="CF784">
        <v>5450</v>
      </c>
      <c r="CG784">
        <v>3000</v>
      </c>
      <c r="CH784">
        <v>95</v>
      </c>
      <c r="CI784">
        <v>1201.5999999999999</v>
      </c>
      <c r="CJ784">
        <v>896.3</v>
      </c>
      <c r="CK784">
        <v>30000</v>
      </c>
      <c r="CL784" t="s">
        <v>291</v>
      </c>
      <c r="CM784" t="s">
        <v>291</v>
      </c>
      <c r="CN784" t="s">
        <v>2552</v>
      </c>
      <c r="CO784" s="1">
        <v>43539</v>
      </c>
      <c r="CP784" s="1">
        <v>43595</v>
      </c>
    </row>
    <row r="785" spans="1:94" x14ac:dyDescent="0.25">
      <c r="A785" s="4" t="s">
        <v>2570</v>
      </c>
      <c r="B785" t="str">
        <f xml:space="preserve"> "" &amp; 706411053559</f>
        <v>706411053559</v>
      </c>
      <c r="C785" t="s">
        <v>2126</v>
      </c>
      <c r="D785" t="s">
        <v>2560</v>
      </c>
      <c r="E785" t="s">
        <v>2561</v>
      </c>
      <c r="F785" t="s">
        <v>2113</v>
      </c>
      <c r="G785">
        <v>1</v>
      </c>
      <c r="H785">
        <v>1</v>
      </c>
      <c r="I785" t="s">
        <v>97</v>
      </c>
      <c r="J785" s="32">
        <v>99.95</v>
      </c>
      <c r="K785" s="32">
        <v>299.85000000000002</v>
      </c>
      <c r="L785">
        <v>0</v>
      </c>
      <c r="N785">
        <v>0</v>
      </c>
      <c r="Q785" t="s">
        <v>291</v>
      </c>
      <c r="R785" s="32">
        <v>149.94999999999999</v>
      </c>
      <c r="S785">
        <v>13.25</v>
      </c>
      <c r="T785">
        <v>52</v>
      </c>
      <c r="U785">
        <v>52</v>
      </c>
      <c r="W785">
        <v>14.55</v>
      </c>
      <c r="X785">
        <v>1</v>
      </c>
      <c r="Y785">
        <v>9.25</v>
      </c>
      <c r="Z785">
        <v>22</v>
      </c>
      <c r="AA785">
        <v>12.5</v>
      </c>
      <c r="AB785">
        <v>1.472</v>
      </c>
      <c r="AC785">
        <v>17.86</v>
      </c>
      <c r="AE785">
        <v>1</v>
      </c>
      <c r="AF785" t="s">
        <v>2141</v>
      </c>
      <c r="AG785">
        <v>16</v>
      </c>
      <c r="AK785" t="s">
        <v>291</v>
      </c>
      <c r="AM785" t="s">
        <v>98</v>
      </c>
      <c r="AN785" t="s">
        <v>291</v>
      </c>
      <c r="AO785" t="s">
        <v>98</v>
      </c>
      <c r="AP785" t="s">
        <v>99</v>
      </c>
      <c r="AQ785" t="s">
        <v>102</v>
      </c>
      <c r="AV785" t="s">
        <v>98</v>
      </c>
      <c r="AX785" t="s">
        <v>167</v>
      </c>
      <c r="AZ785" t="s">
        <v>2118</v>
      </c>
      <c r="BB785" t="s">
        <v>2119</v>
      </c>
      <c r="BC785" t="s">
        <v>2120</v>
      </c>
      <c r="BF785" t="s">
        <v>2571</v>
      </c>
      <c r="BG785" t="s">
        <v>98</v>
      </c>
      <c r="BH785" t="s">
        <v>98</v>
      </c>
      <c r="BI785" t="s">
        <v>98</v>
      </c>
      <c r="BK785" t="s">
        <v>138</v>
      </c>
      <c r="BU785">
        <v>6</v>
      </c>
      <c r="BW785">
        <v>0.75</v>
      </c>
      <c r="BX785" t="s">
        <v>2121</v>
      </c>
      <c r="BY785" t="s">
        <v>291</v>
      </c>
      <c r="BZ785" t="s">
        <v>2346</v>
      </c>
      <c r="CA785" t="s">
        <v>2547</v>
      </c>
      <c r="CB785" t="s">
        <v>167</v>
      </c>
      <c r="CC785">
        <v>196</v>
      </c>
      <c r="CD785">
        <v>0.56999999999999995</v>
      </c>
      <c r="CE785">
        <v>67.28</v>
      </c>
      <c r="CF785">
        <v>5450</v>
      </c>
      <c r="CG785">
        <v>3000</v>
      </c>
      <c r="CH785">
        <v>95</v>
      </c>
      <c r="CI785">
        <v>1201.5999999999999</v>
      </c>
      <c r="CJ785">
        <v>896.3</v>
      </c>
      <c r="CK785">
        <v>30000</v>
      </c>
      <c r="CL785" t="s">
        <v>291</v>
      </c>
      <c r="CM785" t="s">
        <v>291</v>
      </c>
      <c r="CN785" t="s">
        <v>2552</v>
      </c>
      <c r="CO785" s="1">
        <v>42136</v>
      </c>
      <c r="CP785" s="1">
        <v>43595</v>
      </c>
    </row>
    <row r="786" spans="1:94" x14ac:dyDescent="0.25">
      <c r="A786" s="4" t="s">
        <v>2572</v>
      </c>
      <c r="B786" t="str">
        <f xml:space="preserve"> "" &amp; 706411062063</f>
        <v>706411062063</v>
      </c>
      <c r="C786" t="s">
        <v>2126</v>
      </c>
      <c r="D786" t="s">
        <v>2560</v>
      </c>
      <c r="E786" t="s">
        <v>2561</v>
      </c>
      <c r="F786" t="s">
        <v>2113</v>
      </c>
      <c r="G786">
        <v>1</v>
      </c>
      <c r="H786">
        <v>1</v>
      </c>
      <c r="I786" t="s">
        <v>97</v>
      </c>
      <c r="J786" s="32">
        <v>114.95</v>
      </c>
      <c r="K786" s="32">
        <v>344.85</v>
      </c>
      <c r="L786">
        <v>0</v>
      </c>
      <c r="N786">
        <v>0</v>
      </c>
      <c r="Q786" t="s">
        <v>291</v>
      </c>
      <c r="R786" s="32">
        <v>159.94999999999999</v>
      </c>
      <c r="S786">
        <v>13.25</v>
      </c>
      <c r="T786">
        <v>52</v>
      </c>
      <c r="U786">
        <v>52</v>
      </c>
      <c r="W786">
        <v>14.55</v>
      </c>
      <c r="X786">
        <v>1</v>
      </c>
      <c r="Y786">
        <v>9.25</v>
      </c>
      <c r="Z786">
        <v>22</v>
      </c>
      <c r="AA786">
        <v>12.5</v>
      </c>
      <c r="AB786">
        <v>1.472</v>
      </c>
      <c r="AC786">
        <v>17.86</v>
      </c>
      <c r="AE786">
        <v>1</v>
      </c>
      <c r="AF786" t="s">
        <v>2128</v>
      </c>
      <c r="AG786">
        <v>16</v>
      </c>
      <c r="AK786" t="s">
        <v>291</v>
      </c>
      <c r="AM786" t="s">
        <v>98</v>
      </c>
      <c r="AN786" t="s">
        <v>291</v>
      </c>
      <c r="AO786" t="s">
        <v>98</v>
      </c>
      <c r="AP786" t="s">
        <v>99</v>
      </c>
      <c r="AQ786" t="s">
        <v>102</v>
      </c>
      <c r="AV786" t="s">
        <v>98</v>
      </c>
      <c r="AX786" t="s">
        <v>209</v>
      </c>
      <c r="AZ786" t="s">
        <v>535</v>
      </c>
      <c r="BC786" t="s">
        <v>2120</v>
      </c>
      <c r="BF786" t="s">
        <v>2573</v>
      </c>
      <c r="BG786" t="s">
        <v>98</v>
      </c>
      <c r="BH786" t="s">
        <v>98</v>
      </c>
      <c r="BI786" t="s">
        <v>98</v>
      </c>
      <c r="BK786" t="s">
        <v>138</v>
      </c>
      <c r="BU786">
        <v>6</v>
      </c>
      <c r="BW786">
        <v>0.75</v>
      </c>
      <c r="BX786" t="s">
        <v>2121</v>
      </c>
      <c r="BY786" t="s">
        <v>291</v>
      </c>
      <c r="BZ786" t="s">
        <v>2138</v>
      </c>
      <c r="CA786" t="s">
        <v>2563</v>
      </c>
      <c r="CB786" t="s">
        <v>209</v>
      </c>
      <c r="CC786">
        <v>196</v>
      </c>
      <c r="CD786">
        <v>0.56999999999999995</v>
      </c>
      <c r="CE786">
        <v>67.5</v>
      </c>
      <c r="CF786">
        <v>5450</v>
      </c>
      <c r="CG786">
        <v>3000</v>
      </c>
      <c r="CH786">
        <v>95</v>
      </c>
      <c r="CI786">
        <v>1201.5999999999999</v>
      </c>
      <c r="CJ786">
        <v>896.3</v>
      </c>
      <c r="CK786">
        <v>30000</v>
      </c>
      <c r="CL786" t="s">
        <v>291</v>
      </c>
      <c r="CM786" t="s">
        <v>291</v>
      </c>
      <c r="CN786" t="s">
        <v>2552</v>
      </c>
      <c r="CO786" s="1">
        <v>43539</v>
      </c>
      <c r="CP786" s="1">
        <v>43595</v>
      </c>
    </row>
    <row r="787" spans="1:94" x14ac:dyDescent="0.25">
      <c r="A787" s="4" t="s">
        <v>2574</v>
      </c>
      <c r="B787" t="str">
        <f xml:space="preserve"> "" &amp; 706411053566</f>
        <v>706411053566</v>
      </c>
      <c r="C787" t="s">
        <v>2126</v>
      </c>
      <c r="D787" t="s">
        <v>2560</v>
      </c>
      <c r="E787" t="s">
        <v>2561</v>
      </c>
      <c r="F787" t="s">
        <v>2113</v>
      </c>
      <c r="G787">
        <v>1</v>
      </c>
      <c r="H787">
        <v>1</v>
      </c>
      <c r="I787" t="s">
        <v>97</v>
      </c>
      <c r="J787" s="32">
        <v>99.95</v>
      </c>
      <c r="K787" s="32">
        <v>299.85000000000002</v>
      </c>
      <c r="L787">
        <v>0</v>
      </c>
      <c r="N787">
        <v>0</v>
      </c>
      <c r="Q787" t="s">
        <v>291</v>
      </c>
      <c r="R787" s="32">
        <v>149.94999999999999</v>
      </c>
      <c r="S787">
        <v>13.25</v>
      </c>
      <c r="T787">
        <v>52</v>
      </c>
      <c r="U787">
        <v>52</v>
      </c>
      <c r="W787">
        <v>14.55</v>
      </c>
      <c r="X787">
        <v>1</v>
      </c>
      <c r="Y787">
        <v>9.25</v>
      </c>
      <c r="Z787">
        <v>22</v>
      </c>
      <c r="AA787">
        <v>12.5</v>
      </c>
      <c r="AB787">
        <v>1.472</v>
      </c>
      <c r="AC787">
        <v>17.86</v>
      </c>
      <c r="AE787">
        <v>1</v>
      </c>
      <c r="AF787" t="s">
        <v>2141</v>
      </c>
      <c r="AG787">
        <v>16</v>
      </c>
      <c r="AK787" t="s">
        <v>291</v>
      </c>
      <c r="AM787" t="s">
        <v>98</v>
      </c>
      <c r="AN787" t="s">
        <v>291</v>
      </c>
      <c r="AO787" t="s">
        <v>98</v>
      </c>
      <c r="AP787" t="s">
        <v>99</v>
      </c>
      <c r="AQ787" t="s">
        <v>102</v>
      </c>
      <c r="AV787" t="s">
        <v>98</v>
      </c>
      <c r="AX787" t="s">
        <v>245</v>
      </c>
      <c r="AZ787" t="s">
        <v>2118</v>
      </c>
      <c r="BB787" t="s">
        <v>106</v>
      </c>
      <c r="BC787" t="s">
        <v>2120</v>
      </c>
      <c r="BF787" t="s">
        <v>2575</v>
      </c>
      <c r="BG787" t="s">
        <v>98</v>
      </c>
      <c r="BH787" t="s">
        <v>98</v>
      </c>
      <c r="BI787" t="s">
        <v>98</v>
      </c>
      <c r="BK787" t="s">
        <v>138</v>
      </c>
      <c r="BU787">
        <v>6</v>
      </c>
      <c r="BW787">
        <v>0.75</v>
      </c>
      <c r="BX787" t="s">
        <v>2121</v>
      </c>
      <c r="BY787" t="s">
        <v>291</v>
      </c>
      <c r="BZ787" t="s">
        <v>2567</v>
      </c>
      <c r="CA787" t="s">
        <v>2563</v>
      </c>
      <c r="CB787" t="s">
        <v>245</v>
      </c>
      <c r="CC787">
        <v>196</v>
      </c>
      <c r="CD787">
        <v>0.56999999999999995</v>
      </c>
      <c r="CE787">
        <v>67.28</v>
      </c>
      <c r="CF787">
        <v>5450</v>
      </c>
      <c r="CG787">
        <v>3000</v>
      </c>
      <c r="CH787">
        <v>95</v>
      </c>
      <c r="CI787">
        <v>1201.5999999999999</v>
      </c>
      <c r="CJ787">
        <v>896.3</v>
      </c>
      <c r="CK787">
        <v>30000</v>
      </c>
      <c r="CL787" t="s">
        <v>291</v>
      </c>
      <c r="CM787" t="s">
        <v>291</v>
      </c>
      <c r="CN787" t="s">
        <v>2552</v>
      </c>
      <c r="CO787" s="1">
        <v>42136</v>
      </c>
      <c r="CP787" s="1">
        <v>43595</v>
      </c>
    </row>
    <row r="788" spans="1:94" x14ac:dyDescent="0.25">
      <c r="A788" s="4" t="s">
        <v>2576</v>
      </c>
      <c r="B788" t="str">
        <f xml:space="preserve"> "" &amp; 706411058608</f>
        <v>706411058608</v>
      </c>
      <c r="C788" t="s">
        <v>2126</v>
      </c>
      <c r="D788" t="s">
        <v>2560</v>
      </c>
      <c r="E788" t="s">
        <v>2561</v>
      </c>
      <c r="F788" t="s">
        <v>2113</v>
      </c>
      <c r="G788">
        <v>1</v>
      </c>
      <c r="H788">
        <v>1</v>
      </c>
      <c r="I788" t="s">
        <v>97</v>
      </c>
      <c r="J788" s="32">
        <v>99.95</v>
      </c>
      <c r="K788" s="32">
        <v>299.85000000000002</v>
      </c>
      <c r="L788">
        <v>0</v>
      </c>
      <c r="N788">
        <v>0</v>
      </c>
      <c r="Q788" t="s">
        <v>291</v>
      </c>
      <c r="R788" s="32">
        <v>149.94999999999999</v>
      </c>
      <c r="S788">
        <v>13.25</v>
      </c>
      <c r="T788">
        <v>52</v>
      </c>
      <c r="U788">
        <v>52</v>
      </c>
      <c r="W788">
        <v>14.55</v>
      </c>
      <c r="X788">
        <v>1</v>
      </c>
      <c r="Y788">
        <v>9.25</v>
      </c>
      <c r="Z788">
        <v>22</v>
      </c>
      <c r="AA788">
        <v>12.5</v>
      </c>
      <c r="AB788">
        <v>1.472</v>
      </c>
      <c r="AC788">
        <v>17.86</v>
      </c>
      <c r="AE788">
        <v>1</v>
      </c>
      <c r="AF788" t="s">
        <v>2141</v>
      </c>
      <c r="AG788">
        <v>16</v>
      </c>
      <c r="AK788" t="s">
        <v>291</v>
      </c>
      <c r="AM788" t="s">
        <v>98</v>
      </c>
      <c r="AN788" t="s">
        <v>291</v>
      </c>
      <c r="AO788" t="s">
        <v>98</v>
      </c>
      <c r="AP788" t="s">
        <v>99</v>
      </c>
      <c r="AQ788" t="s">
        <v>102</v>
      </c>
      <c r="AV788" t="s">
        <v>98</v>
      </c>
      <c r="AX788" t="s">
        <v>302</v>
      </c>
      <c r="AZ788" t="s">
        <v>535</v>
      </c>
      <c r="BB788" t="s">
        <v>106</v>
      </c>
      <c r="BC788" t="s">
        <v>2120</v>
      </c>
      <c r="BF788" t="s">
        <v>2577</v>
      </c>
      <c r="BG788" t="s">
        <v>98</v>
      </c>
      <c r="BH788" t="s">
        <v>98</v>
      </c>
      <c r="BI788" t="s">
        <v>98</v>
      </c>
      <c r="BK788" t="s">
        <v>138</v>
      </c>
      <c r="BU788">
        <v>6</v>
      </c>
      <c r="BW788">
        <v>0.75</v>
      </c>
      <c r="BX788" t="s">
        <v>2121</v>
      </c>
      <c r="BY788" t="s">
        <v>291</v>
      </c>
      <c r="BZ788" t="s">
        <v>302</v>
      </c>
      <c r="CA788" t="s">
        <v>2563</v>
      </c>
      <c r="CB788" t="s">
        <v>302</v>
      </c>
      <c r="CC788">
        <v>196</v>
      </c>
      <c r="CD788">
        <v>0.56999999999999995</v>
      </c>
      <c r="CE788">
        <v>67.28</v>
      </c>
      <c r="CF788">
        <v>5450</v>
      </c>
      <c r="CG788">
        <v>3000</v>
      </c>
      <c r="CH788">
        <v>95</v>
      </c>
      <c r="CI788">
        <v>1201.5999999999999</v>
      </c>
      <c r="CJ788">
        <v>896.3</v>
      </c>
      <c r="CK788">
        <v>30000</v>
      </c>
      <c r="CL788" t="s">
        <v>291</v>
      </c>
      <c r="CM788" t="s">
        <v>291</v>
      </c>
      <c r="CN788" t="s">
        <v>2552</v>
      </c>
      <c r="CO788" s="1">
        <v>43196</v>
      </c>
      <c r="CP788" s="1">
        <v>43595</v>
      </c>
    </row>
    <row r="789" spans="1:94" x14ac:dyDescent="0.25">
      <c r="A789" s="4" t="s">
        <v>2555</v>
      </c>
      <c r="B789" t="str">
        <f xml:space="preserve"> "" &amp; 706411052484</f>
        <v>706411052484</v>
      </c>
      <c r="C789" t="s">
        <v>2178</v>
      </c>
      <c r="D789" t="s">
        <v>2544</v>
      </c>
      <c r="E789" t="s">
        <v>2545</v>
      </c>
      <c r="F789" t="s">
        <v>2113</v>
      </c>
      <c r="G789">
        <v>1</v>
      </c>
      <c r="H789">
        <v>1</v>
      </c>
      <c r="I789" t="s">
        <v>97</v>
      </c>
      <c r="J789" s="32">
        <v>49.5</v>
      </c>
      <c r="K789" s="32">
        <v>148.5</v>
      </c>
      <c r="L789">
        <v>0</v>
      </c>
      <c r="N789">
        <v>0</v>
      </c>
      <c r="S789">
        <v>12.25</v>
      </c>
      <c r="T789">
        <v>52</v>
      </c>
      <c r="U789">
        <v>52</v>
      </c>
      <c r="W789">
        <v>14.48</v>
      </c>
      <c r="X789">
        <v>1</v>
      </c>
      <c r="Y789">
        <v>9.25</v>
      </c>
      <c r="Z789">
        <v>22</v>
      </c>
      <c r="AA789">
        <v>12.5</v>
      </c>
      <c r="AB789">
        <v>1.472</v>
      </c>
      <c r="AC789">
        <v>17.28</v>
      </c>
      <c r="AK789" t="s">
        <v>98</v>
      </c>
      <c r="AM789" t="s">
        <v>98</v>
      </c>
      <c r="AN789" t="s">
        <v>291</v>
      </c>
      <c r="AO789" t="s">
        <v>98</v>
      </c>
      <c r="AP789" t="s">
        <v>99</v>
      </c>
      <c r="AQ789" t="s">
        <v>102</v>
      </c>
      <c r="AV789" t="s">
        <v>98</v>
      </c>
      <c r="AX789" t="s">
        <v>245</v>
      </c>
      <c r="AZ789" t="s">
        <v>2118</v>
      </c>
      <c r="BF789" t="s">
        <v>2556</v>
      </c>
      <c r="BG789" t="s">
        <v>98</v>
      </c>
      <c r="BH789" t="s">
        <v>98</v>
      </c>
      <c r="BI789" t="s">
        <v>98</v>
      </c>
      <c r="BK789" t="s">
        <v>138</v>
      </c>
      <c r="BU789">
        <v>6</v>
      </c>
      <c r="BW789">
        <v>0.75</v>
      </c>
      <c r="BX789" t="s">
        <v>2121</v>
      </c>
      <c r="BZ789" t="s">
        <v>2426</v>
      </c>
      <c r="CA789" t="s">
        <v>2547</v>
      </c>
      <c r="CB789" t="s">
        <v>245</v>
      </c>
      <c r="CC789">
        <v>183</v>
      </c>
      <c r="CD789">
        <v>0.56000000000000005</v>
      </c>
      <c r="CE789">
        <v>66.5</v>
      </c>
      <c r="CF789">
        <v>5966</v>
      </c>
      <c r="CL789" t="s">
        <v>98</v>
      </c>
      <c r="CM789" t="s">
        <v>291</v>
      </c>
      <c r="CO789" s="1">
        <v>42014</v>
      </c>
      <c r="CP789" s="1">
        <v>43595</v>
      </c>
    </row>
    <row r="790" spans="1:94" x14ac:dyDescent="0.25">
      <c r="A790" s="4" t="s">
        <v>2557</v>
      </c>
      <c r="B790" t="str">
        <f xml:space="preserve"> "" &amp; 706411061639</f>
        <v>706411061639</v>
      </c>
      <c r="C790" t="s">
        <v>2115</v>
      </c>
      <c r="D790" t="s">
        <v>2544</v>
      </c>
      <c r="E790" t="s">
        <v>2545</v>
      </c>
      <c r="F790" t="s">
        <v>2113</v>
      </c>
      <c r="G790">
        <v>1</v>
      </c>
      <c r="H790">
        <v>1</v>
      </c>
      <c r="I790" t="s">
        <v>97</v>
      </c>
      <c r="J790" s="32">
        <v>49.5</v>
      </c>
      <c r="K790" s="32">
        <v>148.5</v>
      </c>
      <c r="L790">
        <v>0</v>
      </c>
      <c r="N790">
        <v>0</v>
      </c>
      <c r="S790">
        <v>12.09</v>
      </c>
      <c r="T790">
        <v>52</v>
      </c>
      <c r="U790">
        <v>52</v>
      </c>
      <c r="W790">
        <v>14.48</v>
      </c>
      <c r="X790">
        <v>1</v>
      </c>
      <c r="Y790">
        <v>9.25</v>
      </c>
      <c r="Z790">
        <v>22</v>
      </c>
      <c r="AA790">
        <v>12.5</v>
      </c>
      <c r="AB790">
        <v>1.472</v>
      </c>
      <c r="AC790">
        <v>17.28</v>
      </c>
      <c r="AK790" t="s">
        <v>98</v>
      </c>
      <c r="AM790" t="s">
        <v>98</v>
      </c>
      <c r="AN790" t="s">
        <v>291</v>
      </c>
      <c r="AO790" t="s">
        <v>98</v>
      </c>
      <c r="AP790" t="s">
        <v>99</v>
      </c>
      <c r="AQ790" t="s">
        <v>102</v>
      </c>
      <c r="AV790" t="s">
        <v>98</v>
      </c>
      <c r="AX790" t="s">
        <v>306</v>
      </c>
      <c r="AZ790" t="s">
        <v>535</v>
      </c>
      <c r="BF790" t="s">
        <v>2558</v>
      </c>
      <c r="BG790" t="s">
        <v>98</v>
      </c>
      <c r="BH790" t="s">
        <v>98</v>
      </c>
      <c r="BI790" t="s">
        <v>98</v>
      </c>
      <c r="BK790" t="s">
        <v>138</v>
      </c>
      <c r="BU790">
        <v>6</v>
      </c>
      <c r="BW790">
        <v>0.75</v>
      </c>
      <c r="BX790">
        <v>12</v>
      </c>
      <c r="BZ790" t="s">
        <v>306</v>
      </c>
      <c r="CA790" t="s">
        <v>2547</v>
      </c>
      <c r="CB790" t="s">
        <v>306</v>
      </c>
      <c r="CC790">
        <v>196</v>
      </c>
      <c r="CD790">
        <v>0.56999999999999995</v>
      </c>
      <c r="CE790">
        <v>67.5</v>
      </c>
      <c r="CF790">
        <v>5450</v>
      </c>
      <c r="CL790" t="s">
        <v>98</v>
      </c>
      <c r="CM790" t="s">
        <v>291</v>
      </c>
      <c r="CN790" t="s">
        <v>349</v>
      </c>
      <c r="CO790" s="1">
        <v>43462</v>
      </c>
      <c r="CP790" s="1">
        <v>43595</v>
      </c>
    </row>
    <row r="791" spans="1:94" x14ac:dyDescent="0.25">
      <c r="A791" s="4" t="s">
        <v>2579</v>
      </c>
      <c r="B791" t="str">
        <f xml:space="preserve"> "" &amp; 706411200168</f>
        <v>706411200168</v>
      </c>
      <c r="C791" t="s">
        <v>2178</v>
      </c>
      <c r="D791" t="s">
        <v>2580</v>
      </c>
      <c r="E791" t="s">
        <v>2581</v>
      </c>
      <c r="F791" t="s">
        <v>2113</v>
      </c>
      <c r="G791">
        <v>1</v>
      </c>
      <c r="H791">
        <v>1</v>
      </c>
      <c r="I791" t="s">
        <v>97</v>
      </c>
      <c r="J791" s="32">
        <v>76.95</v>
      </c>
      <c r="K791" s="32">
        <v>230.85</v>
      </c>
      <c r="L791">
        <v>0</v>
      </c>
      <c r="N791">
        <v>0</v>
      </c>
      <c r="S791">
        <v>12.5</v>
      </c>
      <c r="T791">
        <v>32</v>
      </c>
      <c r="U791">
        <v>32</v>
      </c>
      <c r="W791">
        <v>15.21</v>
      </c>
      <c r="X791">
        <v>1</v>
      </c>
      <c r="Y791">
        <v>9.5</v>
      </c>
      <c r="Z791">
        <v>16</v>
      </c>
      <c r="AA791">
        <v>11.88</v>
      </c>
      <c r="AB791">
        <v>1.0449999999999999</v>
      </c>
      <c r="AC791">
        <v>16.91</v>
      </c>
      <c r="AK791" t="s">
        <v>98</v>
      </c>
      <c r="AM791" t="s">
        <v>98</v>
      </c>
      <c r="AN791" t="s">
        <v>98</v>
      </c>
      <c r="AO791" t="s">
        <v>291</v>
      </c>
      <c r="AP791" t="s">
        <v>99</v>
      </c>
      <c r="AQ791" t="s">
        <v>102</v>
      </c>
      <c r="AV791" t="s">
        <v>98</v>
      </c>
      <c r="AX791" t="s">
        <v>163</v>
      </c>
      <c r="AZ791" t="s">
        <v>2118</v>
      </c>
      <c r="BC791" t="s">
        <v>485</v>
      </c>
      <c r="BF791" t="s">
        <v>2582</v>
      </c>
      <c r="BG791" t="s">
        <v>98</v>
      </c>
      <c r="BH791" t="s">
        <v>98</v>
      </c>
      <c r="BI791" t="s">
        <v>98</v>
      </c>
      <c r="BK791" t="s">
        <v>138</v>
      </c>
      <c r="BU791">
        <v>6</v>
      </c>
      <c r="BW791">
        <v>0.75</v>
      </c>
      <c r="BX791" t="s">
        <v>2386</v>
      </c>
      <c r="BY791" t="s">
        <v>98</v>
      </c>
      <c r="BZ791" t="s">
        <v>441</v>
      </c>
      <c r="CA791" t="s">
        <v>2583</v>
      </c>
      <c r="CB791" t="s">
        <v>163</v>
      </c>
      <c r="CC791">
        <v>267</v>
      </c>
      <c r="CD791">
        <v>0.53</v>
      </c>
      <c r="CE791">
        <v>66</v>
      </c>
      <c r="CF791">
        <v>4074.5</v>
      </c>
      <c r="CL791" t="s">
        <v>98</v>
      </c>
      <c r="CM791" t="s">
        <v>98</v>
      </c>
      <c r="CO791" s="1">
        <v>37404</v>
      </c>
      <c r="CP791" s="1">
        <v>43595</v>
      </c>
    </row>
    <row r="792" spans="1:94" x14ac:dyDescent="0.25">
      <c r="A792" s="4" t="s">
        <v>2584</v>
      </c>
      <c r="B792" t="str">
        <f xml:space="preserve"> "" &amp; 706411010248</f>
        <v>706411010248</v>
      </c>
      <c r="C792" t="s">
        <v>2178</v>
      </c>
      <c r="D792" t="s">
        <v>2580</v>
      </c>
      <c r="E792" t="s">
        <v>2581</v>
      </c>
      <c r="F792" t="s">
        <v>2113</v>
      </c>
      <c r="G792">
        <v>1</v>
      </c>
      <c r="H792">
        <v>1</v>
      </c>
      <c r="I792" t="s">
        <v>97</v>
      </c>
      <c r="J792" s="32">
        <v>76.95</v>
      </c>
      <c r="K792" s="32">
        <v>230.85</v>
      </c>
      <c r="L792">
        <v>0</v>
      </c>
      <c r="N792">
        <v>0</v>
      </c>
      <c r="S792">
        <v>12.5</v>
      </c>
      <c r="T792">
        <v>32</v>
      </c>
      <c r="U792">
        <v>32</v>
      </c>
      <c r="W792">
        <v>15.21</v>
      </c>
      <c r="X792">
        <v>1</v>
      </c>
      <c r="Y792">
        <v>9.5</v>
      </c>
      <c r="Z792">
        <v>16</v>
      </c>
      <c r="AA792">
        <v>11.88</v>
      </c>
      <c r="AB792">
        <v>1.0449999999999999</v>
      </c>
      <c r="AC792">
        <v>16.91</v>
      </c>
      <c r="AK792" t="s">
        <v>98</v>
      </c>
      <c r="AM792" t="s">
        <v>98</v>
      </c>
      <c r="AN792" t="s">
        <v>98</v>
      </c>
      <c r="AO792" t="s">
        <v>291</v>
      </c>
      <c r="AP792" t="s">
        <v>99</v>
      </c>
      <c r="AQ792" t="s">
        <v>102</v>
      </c>
      <c r="AV792" t="s">
        <v>98</v>
      </c>
      <c r="AX792" t="s">
        <v>245</v>
      </c>
      <c r="AZ792" t="s">
        <v>2118</v>
      </c>
      <c r="BC792" t="s">
        <v>485</v>
      </c>
      <c r="BF792" t="s">
        <v>2585</v>
      </c>
      <c r="BG792" t="s">
        <v>98</v>
      </c>
      <c r="BH792" t="s">
        <v>98</v>
      </c>
      <c r="BI792" t="s">
        <v>98</v>
      </c>
      <c r="BK792" t="s">
        <v>138</v>
      </c>
      <c r="BU792">
        <v>6</v>
      </c>
      <c r="BW792">
        <v>0.75</v>
      </c>
      <c r="BX792" t="s">
        <v>2386</v>
      </c>
      <c r="BY792" t="s">
        <v>98</v>
      </c>
      <c r="BZ792" t="s">
        <v>2159</v>
      </c>
      <c r="CA792" t="s">
        <v>2583</v>
      </c>
      <c r="CB792" t="s">
        <v>245</v>
      </c>
      <c r="CC792">
        <v>267</v>
      </c>
      <c r="CD792">
        <v>0.53</v>
      </c>
      <c r="CE792">
        <v>66</v>
      </c>
      <c r="CF792">
        <v>4074.5</v>
      </c>
      <c r="CL792" t="s">
        <v>98</v>
      </c>
      <c r="CM792" t="s">
        <v>98</v>
      </c>
      <c r="CO792" s="1">
        <v>37404</v>
      </c>
      <c r="CP792" s="1">
        <v>43595</v>
      </c>
    </row>
    <row r="793" spans="1:94" x14ac:dyDescent="0.25">
      <c r="A793" s="4" t="s">
        <v>2586</v>
      </c>
      <c r="B793" t="str">
        <f xml:space="preserve"> "" &amp; 706411200175</f>
        <v>706411200175</v>
      </c>
      <c r="C793" t="s">
        <v>2178</v>
      </c>
      <c r="D793" t="s">
        <v>2580</v>
      </c>
      <c r="E793" t="s">
        <v>2581</v>
      </c>
      <c r="F793" t="s">
        <v>2113</v>
      </c>
      <c r="G793">
        <v>1</v>
      </c>
      <c r="H793">
        <v>1</v>
      </c>
      <c r="I793" t="s">
        <v>97</v>
      </c>
      <c r="J793" s="32">
        <v>66.95</v>
      </c>
      <c r="K793" s="32">
        <v>200.85</v>
      </c>
      <c r="L793">
        <v>0</v>
      </c>
      <c r="N793">
        <v>0</v>
      </c>
      <c r="S793">
        <v>12.5</v>
      </c>
      <c r="T793">
        <v>32</v>
      </c>
      <c r="U793">
        <v>32</v>
      </c>
      <c r="W793">
        <v>15.21</v>
      </c>
      <c r="X793">
        <v>1</v>
      </c>
      <c r="Y793">
        <v>9.5</v>
      </c>
      <c r="Z793">
        <v>16</v>
      </c>
      <c r="AA793">
        <v>11.88</v>
      </c>
      <c r="AB793">
        <v>1.0449999999999999</v>
      </c>
      <c r="AC793">
        <v>16.91</v>
      </c>
      <c r="AK793" t="s">
        <v>98</v>
      </c>
      <c r="AM793" t="s">
        <v>98</v>
      </c>
      <c r="AN793" t="s">
        <v>98</v>
      </c>
      <c r="AO793" t="s">
        <v>291</v>
      </c>
      <c r="AP793" t="s">
        <v>99</v>
      </c>
      <c r="AQ793" t="s">
        <v>102</v>
      </c>
      <c r="AV793" t="s">
        <v>98</v>
      </c>
      <c r="AX793" t="s">
        <v>302</v>
      </c>
      <c r="AZ793" t="s">
        <v>2118</v>
      </c>
      <c r="BC793" t="s">
        <v>485</v>
      </c>
      <c r="BF793" t="s">
        <v>2587</v>
      </c>
      <c r="BG793" t="s">
        <v>98</v>
      </c>
      <c r="BH793" t="s">
        <v>98</v>
      </c>
      <c r="BI793" t="s">
        <v>98</v>
      </c>
      <c r="BK793" t="s">
        <v>138</v>
      </c>
      <c r="BU793">
        <v>6</v>
      </c>
      <c r="BW793">
        <v>0.75</v>
      </c>
      <c r="BX793" t="s">
        <v>2386</v>
      </c>
      <c r="BY793" t="s">
        <v>98</v>
      </c>
      <c r="BZ793" t="s">
        <v>302</v>
      </c>
      <c r="CA793" t="s">
        <v>2583</v>
      </c>
      <c r="CB793" t="s">
        <v>302</v>
      </c>
      <c r="CC793">
        <v>267</v>
      </c>
      <c r="CD793">
        <v>0.53</v>
      </c>
      <c r="CE793">
        <v>66</v>
      </c>
      <c r="CF793">
        <v>4074.5</v>
      </c>
      <c r="CL793" t="s">
        <v>98</v>
      </c>
      <c r="CM793" t="s">
        <v>98</v>
      </c>
      <c r="CO793" s="1">
        <v>37404</v>
      </c>
      <c r="CP793" s="1">
        <v>43595</v>
      </c>
    </row>
    <row r="794" spans="1:94" x14ac:dyDescent="0.25">
      <c r="A794" s="4" t="s">
        <v>2588</v>
      </c>
      <c r="B794" t="str">
        <f xml:space="preserve"> "" &amp; 706411200182</f>
        <v>706411200182</v>
      </c>
      <c r="C794" t="s">
        <v>2178</v>
      </c>
      <c r="D794" t="s">
        <v>2589</v>
      </c>
      <c r="E794" t="s">
        <v>2590</v>
      </c>
      <c r="F794" t="s">
        <v>2113</v>
      </c>
      <c r="G794">
        <v>1</v>
      </c>
      <c r="H794">
        <v>1</v>
      </c>
      <c r="I794" t="s">
        <v>97</v>
      </c>
      <c r="J794" s="32">
        <v>79.95</v>
      </c>
      <c r="K794" s="32">
        <v>239.85</v>
      </c>
      <c r="L794">
        <v>0</v>
      </c>
      <c r="N794">
        <v>0</v>
      </c>
      <c r="S794">
        <v>12.5</v>
      </c>
      <c r="T794">
        <v>44</v>
      </c>
      <c r="U794">
        <v>44</v>
      </c>
      <c r="W794">
        <v>18.739999999999998</v>
      </c>
      <c r="X794">
        <v>1</v>
      </c>
      <c r="Y794">
        <v>9.3800000000000008</v>
      </c>
      <c r="Z794">
        <v>17.88</v>
      </c>
      <c r="AA794">
        <v>12.88</v>
      </c>
      <c r="AB794">
        <v>1.25</v>
      </c>
      <c r="AC794">
        <v>21.34</v>
      </c>
      <c r="AK794" t="s">
        <v>98</v>
      </c>
      <c r="AM794" t="s">
        <v>98</v>
      </c>
      <c r="AN794" t="s">
        <v>98</v>
      </c>
      <c r="AO794" t="s">
        <v>291</v>
      </c>
      <c r="AP794" t="s">
        <v>99</v>
      </c>
      <c r="AQ794" t="s">
        <v>102</v>
      </c>
      <c r="AV794" t="s">
        <v>98</v>
      </c>
      <c r="AX794" t="s">
        <v>163</v>
      </c>
      <c r="AZ794" t="s">
        <v>2118</v>
      </c>
      <c r="BC794" t="s">
        <v>485</v>
      </c>
      <c r="BF794" t="s">
        <v>2591</v>
      </c>
      <c r="BG794" t="s">
        <v>98</v>
      </c>
      <c r="BH794" t="s">
        <v>98</v>
      </c>
      <c r="BI794" t="s">
        <v>98</v>
      </c>
      <c r="BK794" t="s">
        <v>138</v>
      </c>
      <c r="BU794">
        <v>6</v>
      </c>
      <c r="BW794">
        <v>0.75</v>
      </c>
      <c r="BX794" t="s">
        <v>2218</v>
      </c>
      <c r="BY794" t="s">
        <v>98</v>
      </c>
      <c r="BZ794" t="s">
        <v>441</v>
      </c>
      <c r="CA794" t="s">
        <v>2592</v>
      </c>
      <c r="CB794" t="s">
        <v>163</v>
      </c>
      <c r="CC794">
        <v>243</v>
      </c>
      <c r="CD794">
        <v>0.64</v>
      </c>
      <c r="CE794">
        <v>76</v>
      </c>
      <c r="CF794">
        <v>5271.85</v>
      </c>
      <c r="CL794" t="s">
        <v>98</v>
      </c>
      <c r="CM794" t="s">
        <v>98</v>
      </c>
      <c r="CO794" s="1">
        <v>37404</v>
      </c>
      <c r="CP794" s="1">
        <v>43595</v>
      </c>
    </row>
    <row r="795" spans="1:94" x14ac:dyDescent="0.25">
      <c r="A795" s="4" t="s">
        <v>2593</v>
      </c>
      <c r="B795" t="str">
        <f xml:space="preserve"> "" &amp; 706411041419</f>
        <v>706411041419</v>
      </c>
      <c r="C795" t="s">
        <v>2178</v>
      </c>
      <c r="D795" t="s">
        <v>2589</v>
      </c>
      <c r="E795" t="s">
        <v>2590</v>
      </c>
      <c r="F795" t="s">
        <v>2113</v>
      </c>
      <c r="G795">
        <v>1</v>
      </c>
      <c r="H795">
        <v>1</v>
      </c>
      <c r="I795" t="s">
        <v>97</v>
      </c>
      <c r="J795" s="32">
        <v>79.95</v>
      </c>
      <c r="K795" s="32">
        <v>239.85</v>
      </c>
      <c r="L795">
        <v>0</v>
      </c>
      <c r="N795">
        <v>0</v>
      </c>
      <c r="S795">
        <v>12.5</v>
      </c>
      <c r="T795">
        <v>44</v>
      </c>
      <c r="U795">
        <v>44</v>
      </c>
      <c r="W795">
        <v>18.739999999999998</v>
      </c>
      <c r="X795">
        <v>1</v>
      </c>
      <c r="Y795">
        <v>9.3800000000000008</v>
      </c>
      <c r="Z795">
        <v>17.88</v>
      </c>
      <c r="AA795">
        <v>12.88</v>
      </c>
      <c r="AB795">
        <v>1.25</v>
      </c>
      <c r="AC795">
        <v>21.34</v>
      </c>
      <c r="AK795" t="s">
        <v>98</v>
      </c>
      <c r="AM795" t="s">
        <v>98</v>
      </c>
      <c r="AN795" t="s">
        <v>98</v>
      </c>
      <c r="AO795" t="s">
        <v>291</v>
      </c>
      <c r="AP795" t="s">
        <v>99</v>
      </c>
      <c r="AQ795" t="s">
        <v>102</v>
      </c>
      <c r="AV795" t="s">
        <v>98</v>
      </c>
      <c r="AX795" t="s">
        <v>2505</v>
      </c>
      <c r="AZ795" t="s">
        <v>2118</v>
      </c>
      <c r="BC795" t="s">
        <v>485</v>
      </c>
      <c r="BF795" t="s">
        <v>2594</v>
      </c>
      <c r="BG795" t="s">
        <v>98</v>
      </c>
      <c r="BH795" t="s">
        <v>98</v>
      </c>
      <c r="BI795" t="s">
        <v>98</v>
      </c>
      <c r="BK795" t="s">
        <v>138</v>
      </c>
      <c r="BU795">
        <v>6</v>
      </c>
      <c r="BW795">
        <v>0.75</v>
      </c>
      <c r="BX795" t="s">
        <v>2206</v>
      </c>
      <c r="BY795" t="s">
        <v>98</v>
      </c>
      <c r="BZ795" t="s">
        <v>2254</v>
      </c>
      <c r="CA795" t="s">
        <v>2592</v>
      </c>
      <c r="CB795" t="s">
        <v>2505</v>
      </c>
      <c r="CC795">
        <v>259</v>
      </c>
      <c r="CD795">
        <v>0.63</v>
      </c>
      <c r="CE795">
        <v>77</v>
      </c>
      <c r="CF795">
        <v>5608</v>
      </c>
      <c r="CL795" t="s">
        <v>98</v>
      </c>
      <c r="CM795" t="s">
        <v>291</v>
      </c>
      <c r="CO795" s="1">
        <v>40760</v>
      </c>
      <c r="CP795" s="1">
        <v>43595</v>
      </c>
    </row>
    <row r="796" spans="1:94" x14ac:dyDescent="0.25">
      <c r="A796" s="4" t="s">
        <v>2595</v>
      </c>
      <c r="B796" t="str">
        <f xml:space="preserve"> "" &amp; 706411010255</f>
        <v>706411010255</v>
      </c>
      <c r="C796" t="s">
        <v>2178</v>
      </c>
      <c r="D796" t="s">
        <v>2589</v>
      </c>
      <c r="E796" t="s">
        <v>2590</v>
      </c>
      <c r="F796" t="s">
        <v>2113</v>
      </c>
      <c r="G796">
        <v>1</v>
      </c>
      <c r="H796">
        <v>1</v>
      </c>
      <c r="I796" t="s">
        <v>97</v>
      </c>
      <c r="J796" s="32">
        <v>79.95</v>
      </c>
      <c r="K796" s="32">
        <v>239.85</v>
      </c>
      <c r="L796">
        <v>0</v>
      </c>
      <c r="N796">
        <v>0</v>
      </c>
      <c r="S796">
        <v>12.5</v>
      </c>
      <c r="T796">
        <v>44</v>
      </c>
      <c r="U796">
        <v>44</v>
      </c>
      <c r="W796">
        <v>18.739999999999998</v>
      </c>
      <c r="X796">
        <v>1</v>
      </c>
      <c r="Y796">
        <v>9.3800000000000008</v>
      </c>
      <c r="Z796">
        <v>17.88</v>
      </c>
      <c r="AA796">
        <v>12.88</v>
      </c>
      <c r="AB796">
        <v>1.25</v>
      </c>
      <c r="AC796">
        <v>21.34</v>
      </c>
      <c r="AK796" t="s">
        <v>98</v>
      </c>
      <c r="AM796" t="s">
        <v>98</v>
      </c>
      <c r="AN796" t="s">
        <v>98</v>
      </c>
      <c r="AO796" t="s">
        <v>291</v>
      </c>
      <c r="AP796" t="s">
        <v>99</v>
      </c>
      <c r="AQ796" t="s">
        <v>102</v>
      </c>
      <c r="AV796" t="s">
        <v>98</v>
      </c>
      <c r="AX796" t="s">
        <v>245</v>
      </c>
      <c r="AZ796" t="s">
        <v>2118</v>
      </c>
      <c r="BC796" t="s">
        <v>485</v>
      </c>
      <c r="BF796" t="s">
        <v>2596</v>
      </c>
      <c r="BG796" t="s">
        <v>98</v>
      </c>
      <c r="BH796" t="s">
        <v>98</v>
      </c>
      <c r="BI796" t="s">
        <v>98</v>
      </c>
      <c r="BK796" t="s">
        <v>138</v>
      </c>
      <c r="BU796">
        <v>6</v>
      </c>
      <c r="BW796">
        <v>0.75</v>
      </c>
      <c r="BX796" t="s">
        <v>2218</v>
      </c>
      <c r="BY796" t="s">
        <v>98</v>
      </c>
      <c r="BZ796" t="s">
        <v>2159</v>
      </c>
      <c r="CA796" t="s">
        <v>2592</v>
      </c>
      <c r="CB796" t="s">
        <v>245</v>
      </c>
      <c r="CC796">
        <v>243</v>
      </c>
      <c r="CD796">
        <v>0.64</v>
      </c>
      <c r="CE796">
        <v>76</v>
      </c>
      <c r="CF796">
        <v>5271.9</v>
      </c>
      <c r="CL796" t="s">
        <v>98</v>
      </c>
      <c r="CM796" t="s">
        <v>98</v>
      </c>
      <c r="CO796" s="1">
        <v>37404</v>
      </c>
      <c r="CP796" s="1">
        <v>43595</v>
      </c>
    </row>
    <row r="797" spans="1:94" x14ac:dyDescent="0.25">
      <c r="A797" s="4" t="s">
        <v>2597</v>
      </c>
      <c r="B797" t="str">
        <f xml:space="preserve"> "" &amp; 706411003837</f>
        <v>706411003837</v>
      </c>
      <c r="C797" t="s">
        <v>2178</v>
      </c>
      <c r="D797" t="s">
        <v>2589</v>
      </c>
      <c r="E797" t="s">
        <v>2590</v>
      </c>
      <c r="F797" t="s">
        <v>2113</v>
      </c>
      <c r="G797">
        <v>1</v>
      </c>
      <c r="H797">
        <v>1</v>
      </c>
      <c r="I797" t="s">
        <v>97</v>
      </c>
      <c r="J797" s="32">
        <v>99.95</v>
      </c>
      <c r="K797" s="32">
        <v>299.85000000000002</v>
      </c>
      <c r="L797">
        <v>0</v>
      </c>
      <c r="N797">
        <v>0</v>
      </c>
      <c r="S797">
        <v>16.5</v>
      </c>
      <c r="T797">
        <v>44</v>
      </c>
      <c r="U797">
        <v>44</v>
      </c>
      <c r="W797">
        <v>21.87</v>
      </c>
      <c r="X797">
        <v>1</v>
      </c>
      <c r="Y797">
        <v>10.375</v>
      </c>
      <c r="Z797">
        <v>23</v>
      </c>
      <c r="AA797">
        <v>13</v>
      </c>
      <c r="AB797">
        <v>1.7949999999999999</v>
      </c>
      <c r="AC797">
        <v>24.74</v>
      </c>
      <c r="AE797">
        <v>1</v>
      </c>
      <c r="AF797" t="s">
        <v>2598</v>
      </c>
      <c r="AG797">
        <v>100</v>
      </c>
      <c r="AK797" t="s">
        <v>291</v>
      </c>
      <c r="AM797" t="s">
        <v>98</v>
      </c>
      <c r="AN797" t="s">
        <v>98</v>
      </c>
      <c r="AO797" t="s">
        <v>291</v>
      </c>
      <c r="AP797" t="s">
        <v>99</v>
      </c>
      <c r="AQ797" t="s">
        <v>102</v>
      </c>
      <c r="AV797" t="s">
        <v>98</v>
      </c>
      <c r="AX797" t="s">
        <v>163</v>
      </c>
      <c r="AZ797" t="s">
        <v>2118</v>
      </c>
      <c r="BB797" t="s">
        <v>54</v>
      </c>
      <c r="BC797" t="s">
        <v>2599</v>
      </c>
      <c r="BF797" t="s">
        <v>2600</v>
      </c>
      <c r="BG797" t="s">
        <v>98</v>
      </c>
      <c r="BH797" t="s">
        <v>98</v>
      </c>
      <c r="BI797" t="s">
        <v>98</v>
      </c>
      <c r="BK797" t="s">
        <v>138</v>
      </c>
      <c r="BU797">
        <v>6</v>
      </c>
      <c r="BW797">
        <v>0.75</v>
      </c>
      <c r="BX797" t="s">
        <v>2218</v>
      </c>
      <c r="BY797" t="s">
        <v>291</v>
      </c>
      <c r="BZ797" t="s">
        <v>302</v>
      </c>
      <c r="CA797" t="s">
        <v>2592</v>
      </c>
      <c r="CB797" t="s">
        <v>163</v>
      </c>
      <c r="CC797">
        <v>243</v>
      </c>
      <c r="CD797">
        <v>0.64</v>
      </c>
      <c r="CE797">
        <v>76</v>
      </c>
      <c r="CF797">
        <v>5271.85</v>
      </c>
      <c r="CL797" t="s">
        <v>291</v>
      </c>
      <c r="CM797" t="s">
        <v>98</v>
      </c>
      <c r="CO797" s="1">
        <v>37404</v>
      </c>
      <c r="CP797" s="1">
        <v>43595</v>
      </c>
    </row>
    <row r="798" spans="1:94" x14ac:dyDescent="0.25">
      <c r="A798" s="4" t="s">
        <v>2601</v>
      </c>
      <c r="B798" t="str">
        <f xml:space="preserve"> "" &amp; 706411041969</f>
        <v>706411041969</v>
      </c>
      <c r="C798" t="s">
        <v>2178</v>
      </c>
      <c r="D798" t="s">
        <v>2589</v>
      </c>
      <c r="E798" t="s">
        <v>2590</v>
      </c>
      <c r="F798" t="s">
        <v>2113</v>
      </c>
      <c r="G798">
        <v>1</v>
      </c>
      <c r="H798">
        <v>1</v>
      </c>
      <c r="I798" t="s">
        <v>97</v>
      </c>
      <c r="J798" s="32">
        <v>99.95</v>
      </c>
      <c r="K798" s="32">
        <v>299.85000000000002</v>
      </c>
      <c r="L798">
        <v>0</v>
      </c>
      <c r="N798">
        <v>0</v>
      </c>
      <c r="S798">
        <v>16.5</v>
      </c>
      <c r="T798">
        <v>44</v>
      </c>
      <c r="U798">
        <v>44</v>
      </c>
      <c r="W798">
        <v>21.87</v>
      </c>
      <c r="X798">
        <v>1</v>
      </c>
      <c r="Y798">
        <v>10.375</v>
      </c>
      <c r="Z798">
        <v>23</v>
      </c>
      <c r="AA798">
        <v>13</v>
      </c>
      <c r="AB798">
        <v>1.7949999999999999</v>
      </c>
      <c r="AC798">
        <v>24.74</v>
      </c>
      <c r="AE798">
        <v>1</v>
      </c>
      <c r="AF798" t="s">
        <v>2602</v>
      </c>
      <c r="AG798">
        <v>100</v>
      </c>
      <c r="AK798" t="s">
        <v>291</v>
      </c>
      <c r="AM798" t="s">
        <v>98</v>
      </c>
      <c r="AN798" t="s">
        <v>98</v>
      </c>
      <c r="AO798" t="s">
        <v>291</v>
      </c>
      <c r="AP798" t="s">
        <v>99</v>
      </c>
      <c r="AQ798" t="s">
        <v>102</v>
      </c>
      <c r="AV798" t="s">
        <v>98</v>
      </c>
      <c r="AX798" t="s">
        <v>2505</v>
      </c>
      <c r="AZ798" t="s">
        <v>2118</v>
      </c>
      <c r="BB798" t="s">
        <v>106</v>
      </c>
      <c r="BC798" t="s">
        <v>2152</v>
      </c>
      <c r="BF798" t="s">
        <v>2603</v>
      </c>
      <c r="BG798" t="s">
        <v>98</v>
      </c>
      <c r="BH798" t="s">
        <v>98</v>
      </c>
      <c r="BI798" t="s">
        <v>98</v>
      </c>
      <c r="BK798" t="s">
        <v>138</v>
      </c>
      <c r="BU798">
        <v>6</v>
      </c>
      <c r="BW798">
        <v>0.75</v>
      </c>
      <c r="BX798">
        <v>14</v>
      </c>
      <c r="BY798" t="s">
        <v>291</v>
      </c>
      <c r="BZ798" t="s">
        <v>2254</v>
      </c>
      <c r="CA798" t="s">
        <v>2592</v>
      </c>
      <c r="CB798" t="s">
        <v>2505</v>
      </c>
      <c r="CC798">
        <v>243</v>
      </c>
      <c r="CD798">
        <v>0.64</v>
      </c>
      <c r="CE798">
        <v>76</v>
      </c>
      <c r="CF798">
        <v>5271.9</v>
      </c>
      <c r="CL798" t="s">
        <v>98</v>
      </c>
      <c r="CM798" t="s">
        <v>98</v>
      </c>
      <c r="CO798" s="1">
        <v>40773</v>
      </c>
      <c r="CP798" s="1">
        <v>43595</v>
      </c>
    </row>
    <row r="799" spans="1:94" x14ac:dyDescent="0.25">
      <c r="A799" s="4" t="s">
        <v>2604</v>
      </c>
      <c r="B799" t="str">
        <f xml:space="preserve"> "" &amp; 706411034398</f>
        <v>706411034398</v>
      </c>
      <c r="C799" t="s">
        <v>2178</v>
      </c>
      <c r="D799" t="s">
        <v>2589</v>
      </c>
      <c r="E799" t="s">
        <v>2590</v>
      </c>
      <c r="F799" t="s">
        <v>2113</v>
      </c>
      <c r="G799">
        <v>1</v>
      </c>
      <c r="H799">
        <v>1</v>
      </c>
      <c r="I799" t="s">
        <v>97</v>
      </c>
      <c r="J799" s="32">
        <v>99.95</v>
      </c>
      <c r="K799" s="32">
        <v>299.85000000000002</v>
      </c>
      <c r="L799">
        <v>0</v>
      </c>
      <c r="N799">
        <v>0</v>
      </c>
      <c r="S799">
        <v>16.5</v>
      </c>
      <c r="T799">
        <v>44</v>
      </c>
      <c r="U799">
        <v>44</v>
      </c>
      <c r="W799">
        <v>21.87</v>
      </c>
      <c r="X799">
        <v>1</v>
      </c>
      <c r="Y799">
        <v>10.375</v>
      </c>
      <c r="Z799">
        <v>23</v>
      </c>
      <c r="AA799">
        <v>13</v>
      </c>
      <c r="AB799">
        <v>1.7949999999999999</v>
      </c>
      <c r="AC799">
        <v>24.74</v>
      </c>
      <c r="AE799">
        <v>1</v>
      </c>
      <c r="AF799" t="s">
        <v>2598</v>
      </c>
      <c r="AG799">
        <v>100</v>
      </c>
      <c r="AK799" t="s">
        <v>291</v>
      </c>
      <c r="AM799" t="s">
        <v>98</v>
      </c>
      <c r="AN799" t="s">
        <v>98</v>
      </c>
      <c r="AO799" t="s">
        <v>291</v>
      </c>
      <c r="AP799" t="s">
        <v>99</v>
      </c>
      <c r="AQ799" t="s">
        <v>102</v>
      </c>
      <c r="AV799" t="s">
        <v>98</v>
      </c>
      <c r="AX799" t="s">
        <v>245</v>
      </c>
      <c r="AZ799" t="s">
        <v>2118</v>
      </c>
      <c r="BB799" t="s">
        <v>54</v>
      </c>
      <c r="BC799" t="s">
        <v>2599</v>
      </c>
      <c r="BF799" t="s">
        <v>2605</v>
      </c>
      <c r="BG799" t="s">
        <v>98</v>
      </c>
      <c r="BH799" t="s">
        <v>98</v>
      </c>
      <c r="BI799" t="s">
        <v>98</v>
      </c>
      <c r="BK799" t="s">
        <v>138</v>
      </c>
      <c r="BU799">
        <v>6</v>
      </c>
      <c r="BW799">
        <v>0.75</v>
      </c>
      <c r="BX799">
        <v>14</v>
      </c>
      <c r="BY799" t="s">
        <v>291</v>
      </c>
      <c r="BZ799" t="s">
        <v>2159</v>
      </c>
      <c r="CA799" t="s">
        <v>2592</v>
      </c>
      <c r="CB799" t="s">
        <v>245</v>
      </c>
      <c r="CC799">
        <v>259</v>
      </c>
      <c r="CD799">
        <v>0.63</v>
      </c>
      <c r="CE799">
        <v>77</v>
      </c>
      <c r="CF799">
        <v>5608</v>
      </c>
      <c r="CL799" t="s">
        <v>291</v>
      </c>
      <c r="CM799" t="s">
        <v>98</v>
      </c>
      <c r="CO799" s="1">
        <v>39576</v>
      </c>
      <c r="CP799" s="1">
        <v>43595</v>
      </c>
    </row>
    <row r="800" spans="1:94" x14ac:dyDescent="0.25">
      <c r="A800" s="4" t="s">
        <v>2606</v>
      </c>
      <c r="B800" t="str">
        <f xml:space="preserve"> "" &amp; 706411008832</f>
        <v>706411008832</v>
      </c>
      <c r="C800" t="s">
        <v>2178</v>
      </c>
      <c r="D800" t="s">
        <v>2589</v>
      </c>
      <c r="E800" t="s">
        <v>2590</v>
      </c>
      <c r="F800" t="s">
        <v>2113</v>
      </c>
      <c r="G800">
        <v>1</v>
      </c>
      <c r="H800">
        <v>1</v>
      </c>
      <c r="I800" t="s">
        <v>97</v>
      </c>
      <c r="J800" s="32">
        <v>99.95</v>
      </c>
      <c r="K800" s="32">
        <v>299.85000000000002</v>
      </c>
      <c r="L800">
        <v>0</v>
      </c>
      <c r="N800">
        <v>0</v>
      </c>
      <c r="S800">
        <v>16.5</v>
      </c>
      <c r="T800">
        <v>44</v>
      </c>
      <c r="U800">
        <v>44</v>
      </c>
      <c r="W800">
        <v>21.87</v>
      </c>
      <c r="X800">
        <v>1</v>
      </c>
      <c r="Y800">
        <v>10.38</v>
      </c>
      <c r="Z800">
        <v>23</v>
      </c>
      <c r="AA800">
        <v>13</v>
      </c>
      <c r="AB800">
        <v>1.796</v>
      </c>
      <c r="AC800">
        <v>24.74</v>
      </c>
      <c r="AE800">
        <v>1</v>
      </c>
      <c r="AF800" t="s">
        <v>2598</v>
      </c>
      <c r="AG800">
        <v>100</v>
      </c>
      <c r="AK800" t="s">
        <v>291</v>
      </c>
      <c r="AM800" t="s">
        <v>98</v>
      </c>
      <c r="AN800" t="s">
        <v>98</v>
      </c>
      <c r="AO800" t="s">
        <v>291</v>
      </c>
      <c r="AP800" t="s">
        <v>99</v>
      </c>
      <c r="AQ800" t="s">
        <v>102</v>
      </c>
      <c r="AV800" t="s">
        <v>98</v>
      </c>
      <c r="AX800" t="s">
        <v>302</v>
      </c>
      <c r="AZ800" t="s">
        <v>2118</v>
      </c>
      <c r="BB800" t="s">
        <v>54</v>
      </c>
      <c r="BC800" t="s">
        <v>2599</v>
      </c>
      <c r="BF800" t="s">
        <v>2607</v>
      </c>
      <c r="BG800" t="s">
        <v>98</v>
      </c>
      <c r="BH800" t="s">
        <v>98</v>
      </c>
      <c r="BI800" t="s">
        <v>98</v>
      </c>
      <c r="BK800" t="s">
        <v>138</v>
      </c>
      <c r="BU800">
        <v>6</v>
      </c>
      <c r="BW800">
        <v>0.75</v>
      </c>
      <c r="BX800" t="s">
        <v>2218</v>
      </c>
      <c r="BY800" t="s">
        <v>291</v>
      </c>
      <c r="BZ800" t="s">
        <v>302</v>
      </c>
      <c r="CA800" t="s">
        <v>2592</v>
      </c>
      <c r="CB800" t="s">
        <v>302</v>
      </c>
      <c r="CC800">
        <v>259</v>
      </c>
      <c r="CD800">
        <v>0.63</v>
      </c>
      <c r="CE800">
        <v>77</v>
      </c>
      <c r="CF800">
        <v>5608</v>
      </c>
      <c r="CL800" t="s">
        <v>291</v>
      </c>
      <c r="CM800" t="s">
        <v>98</v>
      </c>
      <c r="CO800" s="1">
        <v>37404</v>
      </c>
      <c r="CP800" s="1">
        <v>43595</v>
      </c>
    </row>
    <row r="801" spans="1:94" x14ac:dyDescent="0.25">
      <c r="A801" s="4" t="s">
        <v>2608</v>
      </c>
      <c r="B801" t="str">
        <f xml:space="preserve"> "" &amp; 706411200212</f>
        <v>706411200212</v>
      </c>
      <c r="C801" t="s">
        <v>2178</v>
      </c>
      <c r="D801" t="s">
        <v>2589</v>
      </c>
      <c r="E801" t="s">
        <v>2590</v>
      </c>
      <c r="F801" t="s">
        <v>2113</v>
      </c>
      <c r="G801">
        <v>1</v>
      </c>
      <c r="H801">
        <v>1</v>
      </c>
      <c r="I801" t="s">
        <v>97</v>
      </c>
      <c r="J801" s="32">
        <v>79.95</v>
      </c>
      <c r="K801" s="32">
        <v>239.85</v>
      </c>
      <c r="L801">
        <v>0</v>
      </c>
      <c r="N801">
        <v>0</v>
      </c>
      <c r="S801">
        <v>12.5</v>
      </c>
      <c r="T801">
        <v>44</v>
      </c>
      <c r="U801">
        <v>44</v>
      </c>
      <c r="W801">
        <v>18.739999999999998</v>
      </c>
      <c r="X801">
        <v>1</v>
      </c>
      <c r="Y801">
        <v>9.3800000000000008</v>
      </c>
      <c r="Z801">
        <v>17.88</v>
      </c>
      <c r="AA801">
        <v>12.88</v>
      </c>
      <c r="AB801">
        <v>1.25</v>
      </c>
      <c r="AC801">
        <v>21.34</v>
      </c>
      <c r="AK801" t="s">
        <v>98</v>
      </c>
      <c r="AM801" t="s">
        <v>98</v>
      </c>
      <c r="AN801" t="s">
        <v>98</v>
      </c>
      <c r="AO801" t="s">
        <v>291</v>
      </c>
      <c r="AP801" t="s">
        <v>99</v>
      </c>
      <c r="AQ801" t="s">
        <v>102</v>
      </c>
      <c r="AV801" t="s">
        <v>98</v>
      </c>
      <c r="AX801" t="s">
        <v>302</v>
      </c>
      <c r="AZ801" t="s">
        <v>2118</v>
      </c>
      <c r="BC801" t="s">
        <v>485</v>
      </c>
      <c r="BF801" t="s">
        <v>2609</v>
      </c>
      <c r="BG801" t="s">
        <v>98</v>
      </c>
      <c r="BH801" t="s">
        <v>98</v>
      </c>
      <c r="BI801" t="s">
        <v>98</v>
      </c>
      <c r="BK801" t="s">
        <v>138</v>
      </c>
      <c r="BU801">
        <v>6</v>
      </c>
      <c r="BW801">
        <v>0.75</v>
      </c>
      <c r="BX801" t="s">
        <v>2218</v>
      </c>
      <c r="BY801" t="s">
        <v>98</v>
      </c>
      <c r="BZ801" t="s">
        <v>302</v>
      </c>
      <c r="CA801" t="s">
        <v>2592</v>
      </c>
      <c r="CB801" t="s">
        <v>302</v>
      </c>
      <c r="CC801">
        <v>243</v>
      </c>
      <c r="CD801">
        <v>0.64</v>
      </c>
      <c r="CE801">
        <v>76</v>
      </c>
      <c r="CF801">
        <v>5271.86</v>
      </c>
      <c r="CL801" t="s">
        <v>98</v>
      </c>
      <c r="CM801" t="s">
        <v>98</v>
      </c>
      <c r="CO801" s="1">
        <v>37404</v>
      </c>
      <c r="CP801" s="1">
        <v>43595</v>
      </c>
    </row>
    <row r="802" spans="1:94" x14ac:dyDescent="0.25">
      <c r="A802" s="4" t="s">
        <v>2610</v>
      </c>
      <c r="B802" t="str">
        <f xml:space="preserve"> "" &amp; 706411059742</f>
        <v>706411059742</v>
      </c>
      <c r="C802" t="s">
        <v>2382</v>
      </c>
      <c r="D802" t="s">
        <v>4492</v>
      </c>
      <c r="E802" t="s">
        <v>2611</v>
      </c>
      <c r="F802" t="s">
        <v>2113</v>
      </c>
      <c r="G802">
        <v>1</v>
      </c>
      <c r="H802">
        <v>1</v>
      </c>
      <c r="I802" t="s">
        <v>97</v>
      </c>
      <c r="J802" s="32">
        <v>49.5</v>
      </c>
      <c r="K802" s="32">
        <v>148.5</v>
      </c>
      <c r="L802">
        <v>0</v>
      </c>
      <c r="N802">
        <v>0</v>
      </c>
      <c r="S802">
        <v>8.75</v>
      </c>
      <c r="T802">
        <v>52</v>
      </c>
      <c r="U802">
        <v>52</v>
      </c>
      <c r="W802">
        <v>13.45</v>
      </c>
      <c r="X802">
        <v>1</v>
      </c>
      <c r="Y802">
        <v>8.1300000000000008</v>
      </c>
      <c r="Z802">
        <v>19.63</v>
      </c>
      <c r="AA802">
        <v>12.5</v>
      </c>
      <c r="AB802">
        <v>1.1539999999999999</v>
      </c>
      <c r="AC802">
        <v>15.37</v>
      </c>
      <c r="AK802" t="s">
        <v>98</v>
      </c>
      <c r="AM802" t="s">
        <v>98</v>
      </c>
      <c r="AN802" t="s">
        <v>98</v>
      </c>
      <c r="AO802" t="s">
        <v>291</v>
      </c>
      <c r="AP802" t="s">
        <v>99</v>
      </c>
      <c r="AQ802" t="s">
        <v>102</v>
      </c>
      <c r="AV802" t="s">
        <v>98</v>
      </c>
      <c r="AX802" t="s">
        <v>150</v>
      </c>
      <c r="AZ802" t="s">
        <v>109</v>
      </c>
      <c r="BF802" t="s">
        <v>2612</v>
      </c>
      <c r="BG802" t="s">
        <v>98</v>
      </c>
      <c r="BH802" t="s">
        <v>98</v>
      </c>
      <c r="BI802" t="s">
        <v>98</v>
      </c>
      <c r="BK802" t="s">
        <v>138</v>
      </c>
      <c r="BX802" t="s">
        <v>2443</v>
      </c>
      <c r="BZ802" t="s">
        <v>441</v>
      </c>
      <c r="CA802" t="s">
        <v>2613</v>
      </c>
      <c r="CB802" t="s">
        <v>150</v>
      </c>
      <c r="CC802">
        <v>159</v>
      </c>
      <c r="CD802">
        <v>0.53</v>
      </c>
      <c r="CE802">
        <v>63.32</v>
      </c>
      <c r="CF802">
        <v>3733</v>
      </c>
      <c r="CL802" t="s">
        <v>98</v>
      </c>
      <c r="CM802" t="s">
        <v>98</v>
      </c>
      <c r="CN802" t="s">
        <v>2614</v>
      </c>
      <c r="CO802" s="1">
        <v>43180</v>
      </c>
      <c r="CP802" s="1">
        <v>43595</v>
      </c>
    </row>
    <row r="803" spans="1:94" x14ac:dyDescent="0.25">
      <c r="A803" s="4" t="s">
        <v>2615</v>
      </c>
      <c r="B803" t="str">
        <f xml:space="preserve"> "" &amp; 706411443916</f>
        <v>706411443916</v>
      </c>
      <c r="C803" t="s">
        <v>2421</v>
      </c>
      <c r="D803" t="s">
        <v>4492</v>
      </c>
      <c r="E803" t="s">
        <v>2611</v>
      </c>
      <c r="F803" t="s">
        <v>2113</v>
      </c>
      <c r="G803">
        <v>1</v>
      </c>
      <c r="H803">
        <v>1</v>
      </c>
      <c r="I803" t="s">
        <v>97</v>
      </c>
      <c r="J803" s="32">
        <v>44.5</v>
      </c>
      <c r="K803" s="32">
        <v>133.5</v>
      </c>
      <c r="L803">
        <v>0</v>
      </c>
      <c r="N803">
        <v>0</v>
      </c>
      <c r="S803">
        <v>8.75</v>
      </c>
      <c r="T803">
        <v>52</v>
      </c>
      <c r="U803">
        <v>52</v>
      </c>
      <c r="W803">
        <v>13.45</v>
      </c>
      <c r="X803">
        <v>1</v>
      </c>
      <c r="Y803">
        <v>8.1300000000000008</v>
      </c>
      <c r="Z803">
        <v>19.63</v>
      </c>
      <c r="AA803">
        <v>12.5</v>
      </c>
      <c r="AB803">
        <v>1.1539999999999999</v>
      </c>
      <c r="AC803">
        <v>15.37</v>
      </c>
      <c r="AK803" t="s">
        <v>98</v>
      </c>
      <c r="AM803" t="s">
        <v>98</v>
      </c>
      <c r="AN803" t="s">
        <v>98</v>
      </c>
      <c r="AO803" t="s">
        <v>291</v>
      </c>
      <c r="AP803" t="s">
        <v>99</v>
      </c>
      <c r="AQ803" t="s">
        <v>102</v>
      </c>
      <c r="AV803" t="s">
        <v>98</v>
      </c>
      <c r="AX803" t="s">
        <v>302</v>
      </c>
      <c r="AZ803" t="s">
        <v>2235</v>
      </c>
      <c r="BC803" t="s">
        <v>485</v>
      </c>
      <c r="BF803" t="s">
        <v>2616</v>
      </c>
      <c r="BG803" t="s">
        <v>98</v>
      </c>
      <c r="BH803" t="s">
        <v>98</v>
      </c>
      <c r="BI803" t="s">
        <v>98</v>
      </c>
      <c r="BK803" t="s">
        <v>138</v>
      </c>
      <c r="BX803" t="s">
        <v>2443</v>
      </c>
      <c r="BY803" t="s">
        <v>98</v>
      </c>
      <c r="BZ803" t="s">
        <v>302</v>
      </c>
      <c r="CA803" t="s">
        <v>2613</v>
      </c>
      <c r="CB803" t="s">
        <v>302</v>
      </c>
      <c r="CC803">
        <v>159</v>
      </c>
      <c r="CD803">
        <v>0.53</v>
      </c>
      <c r="CE803">
        <v>63.32</v>
      </c>
      <c r="CF803">
        <v>3733</v>
      </c>
      <c r="CL803" t="s">
        <v>98</v>
      </c>
      <c r="CM803" t="s">
        <v>98</v>
      </c>
      <c r="CN803" t="s">
        <v>2614</v>
      </c>
      <c r="CO803" s="1">
        <v>36815</v>
      </c>
      <c r="CP803" s="1">
        <v>43595</v>
      </c>
    </row>
    <row r="804" spans="1:94" x14ac:dyDescent="0.25">
      <c r="A804" s="4" t="s">
        <v>2617</v>
      </c>
      <c r="B804" t="str">
        <f xml:space="preserve"> "" &amp; 706411003882</f>
        <v>706411003882</v>
      </c>
      <c r="C804" t="s">
        <v>2421</v>
      </c>
      <c r="D804" t="s">
        <v>4491</v>
      </c>
      <c r="E804" t="s">
        <v>2611</v>
      </c>
      <c r="F804" t="s">
        <v>2113</v>
      </c>
      <c r="G804">
        <v>1</v>
      </c>
      <c r="H804">
        <v>1</v>
      </c>
      <c r="I804" t="s">
        <v>97</v>
      </c>
      <c r="J804" s="32">
        <v>44.5</v>
      </c>
      <c r="K804" s="32">
        <v>133.5</v>
      </c>
      <c r="L804">
        <v>0</v>
      </c>
      <c r="N804">
        <v>0</v>
      </c>
      <c r="S804">
        <v>8</v>
      </c>
      <c r="T804">
        <v>42</v>
      </c>
      <c r="U804">
        <v>42</v>
      </c>
      <c r="W804">
        <v>10.58</v>
      </c>
      <c r="X804">
        <v>1</v>
      </c>
      <c r="Y804">
        <v>7.13</v>
      </c>
      <c r="Z804">
        <v>17.13</v>
      </c>
      <c r="AA804">
        <v>10.5</v>
      </c>
      <c r="AB804">
        <v>0.74199999999999999</v>
      </c>
      <c r="AC804">
        <v>12.02</v>
      </c>
      <c r="AK804" t="s">
        <v>98</v>
      </c>
      <c r="AM804" t="s">
        <v>98</v>
      </c>
      <c r="AN804" t="s">
        <v>98</v>
      </c>
      <c r="AO804" t="s">
        <v>291</v>
      </c>
      <c r="AP804" t="s">
        <v>99</v>
      </c>
      <c r="AQ804" t="s">
        <v>102</v>
      </c>
      <c r="AV804" t="s">
        <v>98</v>
      </c>
      <c r="AX804" t="s">
        <v>302</v>
      </c>
      <c r="AZ804" t="s">
        <v>2235</v>
      </c>
      <c r="BC804" t="s">
        <v>485</v>
      </c>
      <c r="BF804" t="s">
        <v>2618</v>
      </c>
      <c r="BG804" t="s">
        <v>98</v>
      </c>
      <c r="BH804" t="s">
        <v>98</v>
      </c>
      <c r="BI804" t="s">
        <v>98</v>
      </c>
      <c r="BK804" t="s">
        <v>138</v>
      </c>
      <c r="BX804" t="s">
        <v>2443</v>
      </c>
      <c r="BY804" t="s">
        <v>98</v>
      </c>
      <c r="BZ804" t="s">
        <v>302</v>
      </c>
      <c r="CA804" t="s">
        <v>2619</v>
      </c>
      <c r="CB804" t="s">
        <v>302</v>
      </c>
      <c r="CC804">
        <v>211</v>
      </c>
      <c r="CD804">
        <v>0.47</v>
      </c>
      <c r="CE804">
        <v>50</v>
      </c>
      <c r="CF804">
        <v>3291.09</v>
      </c>
      <c r="CL804" t="s">
        <v>98</v>
      </c>
      <c r="CM804" t="s">
        <v>98</v>
      </c>
      <c r="CO804" s="1">
        <v>36815</v>
      </c>
      <c r="CP804" s="1">
        <v>43595</v>
      </c>
    </row>
    <row r="805" spans="1:94" x14ac:dyDescent="0.25">
      <c r="A805" s="4" t="s">
        <v>2620</v>
      </c>
      <c r="B805" t="str">
        <f xml:space="preserve"> "" &amp; 706411026430</f>
        <v>706411026430</v>
      </c>
      <c r="C805" t="s">
        <v>2178</v>
      </c>
      <c r="D805" t="s">
        <v>2621</v>
      </c>
      <c r="E805" t="s">
        <v>2622</v>
      </c>
      <c r="F805" t="s">
        <v>2113</v>
      </c>
      <c r="G805">
        <v>1</v>
      </c>
      <c r="H805">
        <v>1</v>
      </c>
      <c r="I805" t="s">
        <v>97</v>
      </c>
      <c r="J805" s="32">
        <v>89.95</v>
      </c>
      <c r="K805" s="32">
        <v>269.85000000000002</v>
      </c>
      <c r="L805">
        <v>0</v>
      </c>
      <c r="N805">
        <v>0</v>
      </c>
      <c r="S805">
        <v>13</v>
      </c>
      <c r="T805">
        <v>52</v>
      </c>
      <c r="U805">
        <v>52</v>
      </c>
      <c r="W805">
        <v>20.170000000000002</v>
      </c>
      <c r="X805">
        <v>1</v>
      </c>
      <c r="Y805">
        <v>10.130000000000001</v>
      </c>
      <c r="Z805">
        <v>21.5</v>
      </c>
      <c r="AA805">
        <v>14.38</v>
      </c>
      <c r="AB805">
        <v>1.8120000000000001</v>
      </c>
      <c r="AC805">
        <v>22.47</v>
      </c>
      <c r="AK805" t="s">
        <v>98</v>
      </c>
      <c r="AM805" t="s">
        <v>98</v>
      </c>
      <c r="AN805" t="s">
        <v>98</v>
      </c>
      <c r="AO805" t="s">
        <v>291</v>
      </c>
      <c r="AP805" t="s">
        <v>99</v>
      </c>
      <c r="AQ805" t="s">
        <v>102</v>
      </c>
      <c r="AV805" t="s">
        <v>98</v>
      </c>
      <c r="AX805" t="s">
        <v>136</v>
      </c>
      <c r="AZ805" t="s">
        <v>2118</v>
      </c>
      <c r="BC805" t="s">
        <v>485</v>
      </c>
      <c r="BF805" t="s">
        <v>2623</v>
      </c>
      <c r="BG805" t="s">
        <v>98</v>
      </c>
      <c r="BH805" t="s">
        <v>98</v>
      </c>
      <c r="BI805" t="s">
        <v>98</v>
      </c>
      <c r="BK805" t="s">
        <v>138</v>
      </c>
      <c r="BU805">
        <v>6</v>
      </c>
      <c r="BW805">
        <v>0.75</v>
      </c>
      <c r="BX805" t="s">
        <v>2218</v>
      </c>
      <c r="BY805" t="s">
        <v>98</v>
      </c>
      <c r="BZ805" t="s">
        <v>2254</v>
      </c>
      <c r="CA805" t="s">
        <v>2624</v>
      </c>
      <c r="CB805" t="s">
        <v>136</v>
      </c>
      <c r="CC805">
        <v>179</v>
      </c>
      <c r="CD805">
        <v>0.63400000000000001</v>
      </c>
      <c r="CE805">
        <v>75.3</v>
      </c>
      <c r="CF805">
        <v>5995.05</v>
      </c>
      <c r="CL805" t="s">
        <v>98</v>
      </c>
      <c r="CM805" t="s">
        <v>291</v>
      </c>
      <c r="CO805" s="1">
        <v>37404</v>
      </c>
      <c r="CP805" s="1">
        <v>43595</v>
      </c>
    </row>
    <row r="806" spans="1:94" x14ac:dyDescent="0.25">
      <c r="A806" s="4" t="s">
        <v>2625</v>
      </c>
      <c r="B806" t="str">
        <f xml:space="preserve"> "" &amp; 706411200243</f>
        <v>706411200243</v>
      </c>
      <c r="C806" t="s">
        <v>2178</v>
      </c>
      <c r="D806" t="s">
        <v>2621</v>
      </c>
      <c r="E806" t="s">
        <v>2622</v>
      </c>
      <c r="F806" t="s">
        <v>2113</v>
      </c>
      <c r="G806">
        <v>1</v>
      </c>
      <c r="H806">
        <v>1</v>
      </c>
      <c r="I806" t="s">
        <v>97</v>
      </c>
      <c r="J806" s="32">
        <v>89.95</v>
      </c>
      <c r="K806" s="32">
        <v>269.85000000000002</v>
      </c>
      <c r="L806">
        <v>0</v>
      </c>
      <c r="N806">
        <v>0</v>
      </c>
      <c r="S806">
        <v>13</v>
      </c>
      <c r="T806">
        <v>52</v>
      </c>
      <c r="U806">
        <v>52</v>
      </c>
      <c r="W806">
        <v>20.170000000000002</v>
      </c>
      <c r="X806">
        <v>1</v>
      </c>
      <c r="Y806">
        <v>10.130000000000001</v>
      </c>
      <c r="Z806">
        <v>21.5</v>
      </c>
      <c r="AA806">
        <v>14.38</v>
      </c>
      <c r="AB806">
        <v>1.8120000000000001</v>
      </c>
      <c r="AC806">
        <v>22.47</v>
      </c>
      <c r="AK806" t="s">
        <v>98</v>
      </c>
      <c r="AM806" t="s">
        <v>98</v>
      </c>
      <c r="AN806" t="s">
        <v>98</v>
      </c>
      <c r="AO806" t="s">
        <v>291</v>
      </c>
      <c r="AP806" t="s">
        <v>99</v>
      </c>
      <c r="AQ806" t="s">
        <v>102</v>
      </c>
      <c r="AV806" t="s">
        <v>98</v>
      </c>
      <c r="AX806" t="s">
        <v>163</v>
      </c>
      <c r="AZ806" t="s">
        <v>2118</v>
      </c>
      <c r="BC806" t="s">
        <v>485</v>
      </c>
      <c r="BF806" t="s">
        <v>2626</v>
      </c>
      <c r="BG806" t="s">
        <v>98</v>
      </c>
      <c r="BH806" t="s">
        <v>98</v>
      </c>
      <c r="BI806" t="s">
        <v>98</v>
      </c>
      <c r="BK806" t="s">
        <v>138</v>
      </c>
      <c r="BU806">
        <v>6</v>
      </c>
      <c r="BW806">
        <v>0.75</v>
      </c>
      <c r="BX806" t="s">
        <v>2218</v>
      </c>
      <c r="BY806" t="s">
        <v>98</v>
      </c>
      <c r="BZ806" t="s">
        <v>441</v>
      </c>
      <c r="CA806" t="s">
        <v>2624</v>
      </c>
      <c r="CB806" t="s">
        <v>163</v>
      </c>
      <c r="CC806">
        <v>179</v>
      </c>
      <c r="CD806">
        <v>0.63400000000000001</v>
      </c>
      <c r="CE806">
        <v>75.3</v>
      </c>
      <c r="CF806">
        <v>5995.05</v>
      </c>
      <c r="CL806" t="s">
        <v>98</v>
      </c>
      <c r="CM806" t="s">
        <v>291</v>
      </c>
      <c r="CO806" s="1">
        <v>37404</v>
      </c>
      <c r="CP806" s="1">
        <v>43595</v>
      </c>
    </row>
    <row r="807" spans="1:94" x14ac:dyDescent="0.25">
      <c r="A807" s="4" t="s">
        <v>2627</v>
      </c>
      <c r="B807" t="str">
        <f xml:space="preserve"> "" &amp; 706411041457</f>
        <v>706411041457</v>
      </c>
      <c r="C807" t="s">
        <v>2178</v>
      </c>
      <c r="D807" t="s">
        <v>2621</v>
      </c>
      <c r="E807" t="s">
        <v>2622</v>
      </c>
      <c r="F807" t="s">
        <v>2113</v>
      </c>
      <c r="G807">
        <v>1</v>
      </c>
      <c r="H807">
        <v>1</v>
      </c>
      <c r="I807" t="s">
        <v>97</v>
      </c>
      <c r="J807" s="32">
        <v>89.95</v>
      </c>
      <c r="K807" s="32">
        <v>269.85000000000002</v>
      </c>
      <c r="L807">
        <v>0</v>
      </c>
      <c r="N807">
        <v>0</v>
      </c>
      <c r="S807">
        <v>13</v>
      </c>
      <c r="T807">
        <v>52</v>
      </c>
      <c r="U807">
        <v>52</v>
      </c>
      <c r="W807">
        <v>20.170000000000002</v>
      </c>
      <c r="X807">
        <v>1</v>
      </c>
      <c r="Y807">
        <v>10.130000000000001</v>
      </c>
      <c r="Z807">
        <v>21.5</v>
      </c>
      <c r="AA807">
        <v>14.38</v>
      </c>
      <c r="AB807">
        <v>1.8120000000000001</v>
      </c>
      <c r="AC807">
        <v>22.47</v>
      </c>
      <c r="AK807" t="s">
        <v>98</v>
      </c>
      <c r="AM807" t="s">
        <v>98</v>
      </c>
      <c r="AN807" t="s">
        <v>98</v>
      </c>
      <c r="AO807" t="s">
        <v>291</v>
      </c>
      <c r="AP807" t="s">
        <v>99</v>
      </c>
      <c r="AQ807" t="s">
        <v>102</v>
      </c>
      <c r="AV807" t="s">
        <v>98</v>
      </c>
      <c r="AX807" t="s">
        <v>2505</v>
      </c>
      <c r="AZ807" t="s">
        <v>2118</v>
      </c>
      <c r="BC807" t="s">
        <v>485</v>
      </c>
      <c r="BF807" t="s">
        <v>2628</v>
      </c>
      <c r="BG807" t="s">
        <v>98</v>
      </c>
      <c r="BH807" t="s">
        <v>98</v>
      </c>
      <c r="BI807" t="s">
        <v>98</v>
      </c>
      <c r="BK807" t="s">
        <v>138</v>
      </c>
      <c r="BU807">
        <v>6</v>
      </c>
      <c r="BW807">
        <v>0.75</v>
      </c>
      <c r="BX807" t="s">
        <v>2206</v>
      </c>
      <c r="BY807" t="s">
        <v>98</v>
      </c>
      <c r="BZ807" t="s">
        <v>2254</v>
      </c>
      <c r="CA807" t="s">
        <v>2624</v>
      </c>
      <c r="CB807" t="s">
        <v>2505</v>
      </c>
      <c r="CC807">
        <v>179</v>
      </c>
      <c r="CD807">
        <v>0.63400000000000001</v>
      </c>
      <c r="CE807">
        <v>75.3</v>
      </c>
      <c r="CF807">
        <v>5995.05</v>
      </c>
      <c r="CL807" t="s">
        <v>98</v>
      </c>
      <c r="CM807" t="s">
        <v>291</v>
      </c>
      <c r="CO807" s="1">
        <v>40760</v>
      </c>
      <c r="CP807" s="1">
        <v>43595</v>
      </c>
    </row>
    <row r="808" spans="1:94" x14ac:dyDescent="0.25">
      <c r="A808" s="4" t="s">
        <v>2629</v>
      </c>
      <c r="B808" t="str">
        <f xml:space="preserve"> "" &amp; 706411042805</f>
        <v>706411042805</v>
      </c>
      <c r="C808" t="s">
        <v>2178</v>
      </c>
      <c r="D808" t="s">
        <v>2621</v>
      </c>
      <c r="E808" t="s">
        <v>2622</v>
      </c>
      <c r="F808" t="s">
        <v>2113</v>
      </c>
      <c r="G808">
        <v>1</v>
      </c>
      <c r="H808">
        <v>1</v>
      </c>
      <c r="I808" t="s">
        <v>97</v>
      </c>
      <c r="J808" s="32">
        <v>92.95</v>
      </c>
      <c r="K808" s="32">
        <v>278.85000000000002</v>
      </c>
      <c r="L808">
        <v>0</v>
      </c>
      <c r="N808">
        <v>0</v>
      </c>
      <c r="S808">
        <v>13</v>
      </c>
      <c r="T808">
        <v>52</v>
      </c>
      <c r="U808">
        <v>52</v>
      </c>
      <c r="W808">
        <v>20.170000000000002</v>
      </c>
      <c r="X808">
        <v>1</v>
      </c>
      <c r="Y808">
        <v>10.130000000000001</v>
      </c>
      <c r="Z808">
        <v>21.5</v>
      </c>
      <c r="AA808">
        <v>14.38</v>
      </c>
      <c r="AB808">
        <v>1.8120000000000001</v>
      </c>
      <c r="AC808">
        <v>22.47</v>
      </c>
      <c r="AK808" t="s">
        <v>98</v>
      </c>
      <c r="AM808" t="s">
        <v>98</v>
      </c>
      <c r="AN808" t="s">
        <v>98</v>
      </c>
      <c r="AO808" t="s">
        <v>291</v>
      </c>
      <c r="AP808" t="s">
        <v>99</v>
      </c>
      <c r="AQ808" t="s">
        <v>102</v>
      </c>
      <c r="AV808" t="s">
        <v>98</v>
      </c>
      <c r="AX808" t="s">
        <v>219</v>
      </c>
      <c r="AZ808" t="s">
        <v>2118</v>
      </c>
      <c r="BC808" t="s">
        <v>485</v>
      </c>
      <c r="BF808" t="s">
        <v>2630</v>
      </c>
      <c r="BG808" t="s">
        <v>98</v>
      </c>
      <c r="BH808" t="s">
        <v>98</v>
      </c>
      <c r="BI808" t="s">
        <v>98</v>
      </c>
      <c r="BK808" t="s">
        <v>138</v>
      </c>
      <c r="BU808">
        <v>6</v>
      </c>
      <c r="BW808">
        <v>0.75</v>
      </c>
      <c r="BX808" t="s">
        <v>2206</v>
      </c>
      <c r="BY808" t="s">
        <v>98</v>
      </c>
      <c r="BZ808" t="s">
        <v>2159</v>
      </c>
      <c r="CA808" t="s">
        <v>2624</v>
      </c>
      <c r="CB808" t="s">
        <v>219</v>
      </c>
      <c r="CC808">
        <v>179</v>
      </c>
      <c r="CD808">
        <v>0.63400000000000001</v>
      </c>
      <c r="CE808">
        <v>75.3</v>
      </c>
      <c r="CF808">
        <v>5995.05</v>
      </c>
      <c r="CL808" t="s">
        <v>98</v>
      </c>
      <c r="CM808" t="s">
        <v>291</v>
      </c>
      <c r="CO808" s="1">
        <v>40960</v>
      </c>
      <c r="CP808" s="1">
        <v>43595</v>
      </c>
    </row>
    <row r="809" spans="1:94" x14ac:dyDescent="0.25">
      <c r="A809" s="4" t="s">
        <v>2631</v>
      </c>
      <c r="B809" t="str">
        <f xml:space="preserve"> "" &amp; 706411010279</f>
        <v>706411010279</v>
      </c>
      <c r="C809" t="s">
        <v>2178</v>
      </c>
      <c r="D809" t="s">
        <v>2621</v>
      </c>
      <c r="E809" t="s">
        <v>2622</v>
      </c>
      <c r="F809" t="s">
        <v>2113</v>
      </c>
      <c r="G809">
        <v>1</v>
      </c>
      <c r="H809">
        <v>1</v>
      </c>
      <c r="I809" t="s">
        <v>97</v>
      </c>
      <c r="J809" s="32">
        <v>89.95</v>
      </c>
      <c r="K809" s="32">
        <v>269.85000000000002</v>
      </c>
      <c r="L809">
        <v>0</v>
      </c>
      <c r="N809">
        <v>0</v>
      </c>
      <c r="S809">
        <v>13</v>
      </c>
      <c r="T809">
        <v>52</v>
      </c>
      <c r="U809">
        <v>52</v>
      </c>
      <c r="W809">
        <v>20.170000000000002</v>
      </c>
      <c r="X809">
        <v>1</v>
      </c>
      <c r="Y809">
        <v>10.130000000000001</v>
      </c>
      <c r="Z809">
        <v>21.5</v>
      </c>
      <c r="AA809">
        <v>14.38</v>
      </c>
      <c r="AB809">
        <v>1.8120000000000001</v>
      </c>
      <c r="AC809">
        <v>22.47</v>
      </c>
      <c r="AK809" t="s">
        <v>98</v>
      </c>
      <c r="AM809" t="s">
        <v>98</v>
      </c>
      <c r="AN809" t="s">
        <v>98</v>
      </c>
      <c r="AO809" t="s">
        <v>291</v>
      </c>
      <c r="AP809" t="s">
        <v>99</v>
      </c>
      <c r="AQ809" t="s">
        <v>102</v>
      </c>
      <c r="AV809" t="s">
        <v>98</v>
      </c>
      <c r="AX809" t="s">
        <v>245</v>
      </c>
      <c r="AZ809" t="s">
        <v>2118</v>
      </c>
      <c r="BC809" t="s">
        <v>485</v>
      </c>
      <c r="BF809" t="s">
        <v>2632</v>
      </c>
      <c r="BG809" t="s">
        <v>98</v>
      </c>
      <c r="BH809" t="s">
        <v>98</v>
      </c>
      <c r="BI809" t="s">
        <v>98</v>
      </c>
      <c r="BK809" t="s">
        <v>138</v>
      </c>
      <c r="BU809">
        <v>6</v>
      </c>
      <c r="BW809">
        <v>0.75</v>
      </c>
      <c r="BX809" t="s">
        <v>2218</v>
      </c>
      <c r="BY809" t="s">
        <v>98</v>
      </c>
      <c r="BZ809" t="s">
        <v>2159</v>
      </c>
      <c r="CA809" t="s">
        <v>2624</v>
      </c>
      <c r="CB809" t="s">
        <v>245</v>
      </c>
      <c r="CC809">
        <v>179</v>
      </c>
      <c r="CD809">
        <v>0.63400000000000001</v>
      </c>
      <c r="CE809">
        <v>75.3</v>
      </c>
      <c r="CF809">
        <v>5995.05</v>
      </c>
      <c r="CL809" t="s">
        <v>98</v>
      </c>
      <c r="CM809" t="s">
        <v>291</v>
      </c>
      <c r="CO809" s="1">
        <v>37404</v>
      </c>
      <c r="CP809" s="1">
        <v>43595</v>
      </c>
    </row>
    <row r="810" spans="1:94" x14ac:dyDescent="0.25">
      <c r="A810" s="4" t="s">
        <v>2633</v>
      </c>
      <c r="B810" t="str">
        <f xml:space="preserve"> "" &amp; 706411200281</f>
        <v>706411200281</v>
      </c>
      <c r="C810" t="s">
        <v>2178</v>
      </c>
      <c r="D810" t="s">
        <v>2621</v>
      </c>
      <c r="E810" t="s">
        <v>2622</v>
      </c>
      <c r="F810" t="s">
        <v>2113</v>
      </c>
      <c r="G810">
        <v>1</v>
      </c>
      <c r="H810">
        <v>1</v>
      </c>
      <c r="I810" t="s">
        <v>97</v>
      </c>
      <c r="J810" s="32">
        <v>81.95</v>
      </c>
      <c r="K810" s="32">
        <v>245.85</v>
      </c>
      <c r="L810">
        <v>0</v>
      </c>
      <c r="N810">
        <v>0</v>
      </c>
      <c r="S810">
        <v>13</v>
      </c>
      <c r="T810">
        <v>52</v>
      </c>
      <c r="U810">
        <v>52</v>
      </c>
      <c r="W810">
        <v>20.170000000000002</v>
      </c>
      <c r="X810">
        <v>1</v>
      </c>
      <c r="Y810">
        <v>10.130000000000001</v>
      </c>
      <c r="Z810">
        <v>21.5</v>
      </c>
      <c r="AA810">
        <v>14.38</v>
      </c>
      <c r="AB810">
        <v>1.8120000000000001</v>
      </c>
      <c r="AC810">
        <v>22.47</v>
      </c>
      <c r="AK810" t="s">
        <v>98</v>
      </c>
      <c r="AM810" t="s">
        <v>98</v>
      </c>
      <c r="AN810" t="s">
        <v>98</v>
      </c>
      <c r="AO810" t="s">
        <v>291</v>
      </c>
      <c r="AP810" t="s">
        <v>99</v>
      </c>
      <c r="AQ810" t="s">
        <v>102</v>
      </c>
      <c r="AV810" t="s">
        <v>98</v>
      </c>
      <c r="AX810" t="s">
        <v>277</v>
      </c>
      <c r="AZ810" t="s">
        <v>2118</v>
      </c>
      <c r="BC810" t="s">
        <v>485</v>
      </c>
      <c r="BF810" t="s">
        <v>2634</v>
      </c>
      <c r="BG810" t="s">
        <v>98</v>
      </c>
      <c r="BH810" t="s">
        <v>98</v>
      </c>
      <c r="BI810" t="s">
        <v>98</v>
      </c>
      <c r="BK810" t="s">
        <v>138</v>
      </c>
      <c r="BU810">
        <v>6</v>
      </c>
      <c r="BW810">
        <v>0.75</v>
      </c>
      <c r="BX810" t="s">
        <v>2218</v>
      </c>
      <c r="BY810" t="s">
        <v>98</v>
      </c>
      <c r="BZ810" t="s">
        <v>277</v>
      </c>
      <c r="CA810" t="s">
        <v>2624</v>
      </c>
      <c r="CB810" t="s">
        <v>277</v>
      </c>
      <c r="CC810">
        <v>179</v>
      </c>
      <c r="CD810">
        <v>0.63400000000000001</v>
      </c>
      <c r="CE810">
        <v>75.3</v>
      </c>
      <c r="CF810">
        <v>5995.05</v>
      </c>
      <c r="CL810" t="s">
        <v>98</v>
      </c>
      <c r="CM810" t="s">
        <v>291</v>
      </c>
      <c r="CO810" s="1">
        <v>39217</v>
      </c>
      <c r="CP810" s="1">
        <v>43595</v>
      </c>
    </row>
    <row r="811" spans="1:94" x14ac:dyDescent="0.25">
      <c r="A811" s="4" t="s">
        <v>2635</v>
      </c>
      <c r="B811" t="str">
        <f xml:space="preserve"> "" &amp; 706411200298</f>
        <v>706411200298</v>
      </c>
      <c r="C811" t="s">
        <v>2178</v>
      </c>
      <c r="D811" t="s">
        <v>2621</v>
      </c>
      <c r="E811" t="s">
        <v>2622</v>
      </c>
      <c r="F811" t="s">
        <v>2113</v>
      </c>
      <c r="G811">
        <v>1</v>
      </c>
      <c r="H811">
        <v>1</v>
      </c>
      <c r="I811" t="s">
        <v>97</v>
      </c>
      <c r="J811" s="32">
        <v>81.95</v>
      </c>
      <c r="K811" s="32">
        <v>245.85</v>
      </c>
      <c r="L811">
        <v>0</v>
      </c>
      <c r="N811">
        <v>0</v>
      </c>
      <c r="S811">
        <v>13</v>
      </c>
      <c r="T811">
        <v>52</v>
      </c>
      <c r="U811">
        <v>52</v>
      </c>
      <c r="W811">
        <v>20.170000000000002</v>
      </c>
      <c r="X811">
        <v>1</v>
      </c>
      <c r="Y811">
        <v>10.130000000000001</v>
      </c>
      <c r="Z811">
        <v>21.5</v>
      </c>
      <c r="AA811">
        <v>14.38</v>
      </c>
      <c r="AB811">
        <v>1.8120000000000001</v>
      </c>
      <c r="AC811">
        <v>22.47</v>
      </c>
      <c r="AK811" t="s">
        <v>98</v>
      </c>
      <c r="AM811" t="s">
        <v>98</v>
      </c>
      <c r="AN811" t="s">
        <v>98</v>
      </c>
      <c r="AO811" t="s">
        <v>291</v>
      </c>
      <c r="AP811" t="s">
        <v>99</v>
      </c>
      <c r="AQ811" t="s">
        <v>102</v>
      </c>
      <c r="AV811" t="s">
        <v>98</v>
      </c>
      <c r="AX811" t="s">
        <v>302</v>
      </c>
      <c r="AZ811" t="s">
        <v>2118</v>
      </c>
      <c r="BC811" t="s">
        <v>485</v>
      </c>
      <c r="BF811" t="s">
        <v>2636</v>
      </c>
      <c r="BG811" t="s">
        <v>98</v>
      </c>
      <c r="BH811" t="s">
        <v>98</v>
      </c>
      <c r="BI811" t="s">
        <v>98</v>
      </c>
      <c r="BK811" t="s">
        <v>138</v>
      </c>
      <c r="BU811">
        <v>6</v>
      </c>
      <c r="BW811">
        <v>0.75</v>
      </c>
      <c r="BX811" t="s">
        <v>2218</v>
      </c>
      <c r="BY811" t="s">
        <v>98</v>
      </c>
      <c r="BZ811" t="s">
        <v>302</v>
      </c>
      <c r="CA811" t="s">
        <v>2624</v>
      </c>
      <c r="CB811" t="s">
        <v>302</v>
      </c>
      <c r="CC811">
        <v>179</v>
      </c>
      <c r="CD811">
        <v>0.63400000000000001</v>
      </c>
      <c r="CE811">
        <v>75.3</v>
      </c>
      <c r="CF811">
        <v>5995.05</v>
      </c>
      <c r="CL811" t="s">
        <v>98</v>
      </c>
      <c r="CM811" t="s">
        <v>291</v>
      </c>
      <c r="CO811" s="1">
        <v>37404</v>
      </c>
      <c r="CP811" s="1">
        <v>43595</v>
      </c>
    </row>
    <row r="812" spans="1:94" x14ac:dyDescent="0.25">
      <c r="A812" s="4" t="s">
        <v>2637</v>
      </c>
      <c r="B812" t="str">
        <f xml:space="preserve"> "" &amp; 706411008863</f>
        <v>706411008863</v>
      </c>
      <c r="C812" t="s">
        <v>2178</v>
      </c>
      <c r="D812" t="s">
        <v>2621</v>
      </c>
      <c r="E812" t="s">
        <v>2622</v>
      </c>
      <c r="F812" t="s">
        <v>2113</v>
      </c>
      <c r="G812">
        <v>1</v>
      </c>
      <c r="H812">
        <v>1</v>
      </c>
      <c r="I812" t="s">
        <v>97</v>
      </c>
      <c r="J812" s="32">
        <v>149.94999999999999</v>
      </c>
      <c r="K812" s="32">
        <v>449.85</v>
      </c>
      <c r="L812">
        <v>0</v>
      </c>
      <c r="N812">
        <v>0</v>
      </c>
      <c r="Q812" t="s">
        <v>291</v>
      </c>
      <c r="R812" s="32">
        <v>199.95</v>
      </c>
      <c r="S812">
        <v>16.75</v>
      </c>
      <c r="T812">
        <v>52</v>
      </c>
      <c r="U812">
        <v>52</v>
      </c>
      <c r="W812">
        <v>23.59</v>
      </c>
      <c r="X812">
        <v>1</v>
      </c>
      <c r="Y812">
        <v>10.25</v>
      </c>
      <c r="Z812">
        <v>26.25</v>
      </c>
      <c r="AA812">
        <v>14.75</v>
      </c>
      <c r="AB812">
        <v>2.2970000000000002</v>
      </c>
      <c r="AC812">
        <v>26.87</v>
      </c>
      <c r="AE812">
        <v>1</v>
      </c>
      <c r="AF812" t="s">
        <v>2598</v>
      </c>
      <c r="AG812">
        <v>100</v>
      </c>
      <c r="AK812" t="s">
        <v>291</v>
      </c>
      <c r="AM812" t="s">
        <v>98</v>
      </c>
      <c r="AN812" t="s">
        <v>98</v>
      </c>
      <c r="AO812" t="s">
        <v>291</v>
      </c>
      <c r="AP812" t="s">
        <v>99</v>
      </c>
      <c r="AQ812" t="s">
        <v>102</v>
      </c>
      <c r="AV812" t="s">
        <v>98</v>
      </c>
      <c r="AX812" t="s">
        <v>163</v>
      </c>
      <c r="AZ812" t="s">
        <v>2118</v>
      </c>
      <c r="BB812" t="s">
        <v>54</v>
      </c>
      <c r="BC812" t="s">
        <v>2599</v>
      </c>
      <c r="BF812" t="s">
        <v>2638</v>
      </c>
      <c r="BG812" t="s">
        <v>98</v>
      </c>
      <c r="BH812" t="s">
        <v>98</v>
      </c>
      <c r="BI812" t="s">
        <v>98</v>
      </c>
      <c r="BK812" t="s">
        <v>138</v>
      </c>
      <c r="BU812">
        <v>6</v>
      </c>
      <c r="BW812">
        <v>0.75</v>
      </c>
      <c r="BX812" t="s">
        <v>2218</v>
      </c>
      <c r="BY812" t="s">
        <v>291</v>
      </c>
      <c r="BZ812" t="s">
        <v>441</v>
      </c>
      <c r="CA812" t="s">
        <v>2639</v>
      </c>
      <c r="CB812" t="s">
        <v>163</v>
      </c>
      <c r="CC812">
        <v>168</v>
      </c>
      <c r="CD812">
        <v>0.66</v>
      </c>
      <c r="CE812">
        <v>79</v>
      </c>
      <c r="CF812">
        <v>5754.77</v>
      </c>
      <c r="CL812" t="s">
        <v>291</v>
      </c>
      <c r="CM812" t="s">
        <v>98</v>
      </c>
      <c r="CO812" s="1">
        <v>37404</v>
      </c>
      <c r="CP812" s="1">
        <v>43595</v>
      </c>
    </row>
    <row r="813" spans="1:94" x14ac:dyDescent="0.25">
      <c r="A813" s="4" t="s">
        <v>2640</v>
      </c>
      <c r="B813" t="str">
        <f xml:space="preserve"> "" &amp; 706411041464</f>
        <v>706411041464</v>
      </c>
      <c r="C813" t="s">
        <v>2178</v>
      </c>
      <c r="D813" t="s">
        <v>2621</v>
      </c>
      <c r="E813" t="s">
        <v>2622</v>
      </c>
      <c r="F813" t="s">
        <v>2113</v>
      </c>
      <c r="G813">
        <v>1</v>
      </c>
      <c r="H813">
        <v>1</v>
      </c>
      <c r="I813" t="s">
        <v>97</v>
      </c>
      <c r="J813" s="32">
        <v>149.94999999999999</v>
      </c>
      <c r="K813" s="32">
        <v>449.85</v>
      </c>
      <c r="L813">
        <v>0</v>
      </c>
      <c r="N813">
        <v>0</v>
      </c>
      <c r="Q813" t="s">
        <v>291</v>
      </c>
      <c r="R813" s="32">
        <v>199.95</v>
      </c>
      <c r="S813">
        <v>16.75</v>
      </c>
      <c r="T813">
        <v>52</v>
      </c>
      <c r="U813">
        <v>52</v>
      </c>
      <c r="W813">
        <v>23.59</v>
      </c>
      <c r="X813">
        <v>1</v>
      </c>
      <c r="Y813">
        <v>10.25</v>
      </c>
      <c r="Z813">
        <v>26.25</v>
      </c>
      <c r="AA813">
        <v>14.75</v>
      </c>
      <c r="AB813">
        <v>2.2970000000000002</v>
      </c>
      <c r="AC813">
        <v>26.87</v>
      </c>
      <c r="AE813">
        <v>1</v>
      </c>
      <c r="AF813" t="s">
        <v>2641</v>
      </c>
      <c r="AG813">
        <v>100</v>
      </c>
      <c r="AK813" t="s">
        <v>291</v>
      </c>
      <c r="AM813" t="s">
        <v>98</v>
      </c>
      <c r="AN813" t="s">
        <v>98</v>
      </c>
      <c r="AO813" t="s">
        <v>291</v>
      </c>
      <c r="AP813" t="s">
        <v>99</v>
      </c>
      <c r="AQ813" t="s">
        <v>102</v>
      </c>
      <c r="AV813" t="s">
        <v>98</v>
      </c>
      <c r="AX813" t="s">
        <v>2505</v>
      </c>
      <c r="AZ813" t="s">
        <v>2118</v>
      </c>
      <c r="BB813" t="s">
        <v>106</v>
      </c>
      <c r="BC813" t="s">
        <v>2642</v>
      </c>
      <c r="BF813" t="s">
        <v>2643</v>
      </c>
      <c r="BG813" t="s">
        <v>98</v>
      </c>
      <c r="BH813" t="s">
        <v>98</v>
      </c>
      <c r="BI813" t="s">
        <v>98</v>
      </c>
      <c r="BK813" t="s">
        <v>138</v>
      </c>
      <c r="BU813">
        <v>6</v>
      </c>
      <c r="BW813">
        <v>0.75</v>
      </c>
      <c r="BX813">
        <v>14</v>
      </c>
      <c r="BY813" t="s">
        <v>291</v>
      </c>
      <c r="BZ813" t="s">
        <v>2254</v>
      </c>
      <c r="CA813" t="s">
        <v>2639</v>
      </c>
      <c r="CB813" t="s">
        <v>2505</v>
      </c>
      <c r="CC813">
        <v>170</v>
      </c>
      <c r="CD813">
        <v>0.66</v>
      </c>
      <c r="CE813">
        <v>79</v>
      </c>
      <c r="CF813">
        <v>6000</v>
      </c>
      <c r="CL813" t="s">
        <v>291</v>
      </c>
      <c r="CM813" t="s">
        <v>98</v>
      </c>
      <c r="CO813" s="1">
        <v>40760</v>
      </c>
      <c r="CP813" s="1">
        <v>43595</v>
      </c>
    </row>
    <row r="814" spans="1:94" x14ac:dyDescent="0.25">
      <c r="A814" s="4" t="s">
        <v>2644</v>
      </c>
      <c r="B814" t="str">
        <f xml:space="preserve"> "" &amp; 706411009525</f>
        <v>706411009525</v>
      </c>
      <c r="C814" t="s">
        <v>2178</v>
      </c>
      <c r="D814" t="s">
        <v>2621</v>
      </c>
      <c r="E814" t="s">
        <v>2622</v>
      </c>
      <c r="F814" t="s">
        <v>2113</v>
      </c>
      <c r="G814">
        <v>1</v>
      </c>
      <c r="H814">
        <v>1</v>
      </c>
      <c r="I814" t="s">
        <v>97</v>
      </c>
      <c r="J814" s="32">
        <v>149.94999999999999</v>
      </c>
      <c r="K814" s="32">
        <v>449.85</v>
      </c>
      <c r="L814">
        <v>0</v>
      </c>
      <c r="N814">
        <v>0</v>
      </c>
      <c r="Q814" t="s">
        <v>291</v>
      </c>
      <c r="R814" s="32">
        <v>199.95</v>
      </c>
      <c r="S814">
        <v>16.75</v>
      </c>
      <c r="T814">
        <v>52</v>
      </c>
      <c r="U814">
        <v>52</v>
      </c>
      <c r="W814">
        <v>23.59</v>
      </c>
      <c r="X814">
        <v>1</v>
      </c>
      <c r="Y814">
        <v>10.25</v>
      </c>
      <c r="Z814">
        <v>26.25</v>
      </c>
      <c r="AA814">
        <v>14.75</v>
      </c>
      <c r="AB814">
        <v>2.2970000000000002</v>
      </c>
      <c r="AC814">
        <v>26.87</v>
      </c>
      <c r="AE814">
        <v>1</v>
      </c>
      <c r="AF814" t="s">
        <v>2598</v>
      </c>
      <c r="AG814">
        <v>100</v>
      </c>
      <c r="AK814" t="s">
        <v>291</v>
      </c>
      <c r="AM814" t="s">
        <v>98</v>
      </c>
      <c r="AN814" t="s">
        <v>98</v>
      </c>
      <c r="AO814" t="s">
        <v>291</v>
      </c>
      <c r="AP814" t="s">
        <v>99</v>
      </c>
      <c r="AQ814" t="s">
        <v>102</v>
      </c>
      <c r="AV814" t="s">
        <v>98</v>
      </c>
      <c r="AX814" t="s">
        <v>245</v>
      </c>
      <c r="AZ814" t="s">
        <v>2118</v>
      </c>
      <c r="BB814" t="s">
        <v>54</v>
      </c>
      <c r="BC814" t="s">
        <v>2599</v>
      </c>
      <c r="BF814" t="s">
        <v>2645</v>
      </c>
      <c r="BG814" t="s">
        <v>98</v>
      </c>
      <c r="BH814" t="s">
        <v>98</v>
      </c>
      <c r="BI814" t="s">
        <v>98</v>
      </c>
      <c r="BK814" t="s">
        <v>138</v>
      </c>
      <c r="BU814">
        <v>6</v>
      </c>
      <c r="BW814">
        <v>0.75</v>
      </c>
      <c r="BX814" t="s">
        <v>2218</v>
      </c>
      <c r="BY814" t="s">
        <v>291</v>
      </c>
      <c r="BZ814" t="s">
        <v>2159</v>
      </c>
      <c r="CA814" t="s">
        <v>2639</v>
      </c>
      <c r="CB814" t="s">
        <v>245</v>
      </c>
      <c r="CC814">
        <v>168</v>
      </c>
      <c r="CD814">
        <v>0.66</v>
      </c>
      <c r="CE814">
        <v>79</v>
      </c>
      <c r="CF814">
        <v>5754.77</v>
      </c>
      <c r="CL814" t="s">
        <v>291</v>
      </c>
      <c r="CM814" t="s">
        <v>98</v>
      </c>
      <c r="CO814" s="1">
        <v>37404</v>
      </c>
      <c r="CP814" s="1">
        <v>43595</v>
      </c>
    </row>
    <row r="815" spans="1:94" x14ac:dyDescent="0.25">
      <c r="A815" s="4" t="s">
        <v>2646</v>
      </c>
      <c r="B815" t="str">
        <f xml:space="preserve"> "" &amp; 706411008894</f>
        <v>706411008894</v>
      </c>
      <c r="C815" t="s">
        <v>2178</v>
      </c>
      <c r="D815" t="s">
        <v>2621</v>
      </c>
      <c r="E815" t="s">
        <v>2622</v>
      </c>
      <c r="F815" t="s">
        <v>2113</v>
      </c>
      <c r="G815">
        <v>1</v>
      </c>
      <c r="H815">
        <v>1</v>
      </c>
      <c r="I815" t="s">
        <v>97</v>
      </c>
      <c r="J815" s="32">
        <v>132.94999999999999</v>
      </c>
      <c r="K815" s="32">
        <v>398.85</v>
      </c>
      <c r="L815">
        <v>0</v>
      </c>
      <c r="N815">
        <v>0</v>
      </c>
      <c r="Q815" t="s">
        <v>291</v>
      </c>
      <c r="R815" s="32">
        <v>189.95</v>
      </c>
      <c r="S815">
        <v>16.75</v>
      </c>
      <c r="T815">
        <v>52</v>
      </c>
      <c r="U815">
        <v>52</v>
      </c>
      <c r="W815">
        <v>23.59</v>
      </c>
      <c r="X815">
        <v>1</v>
      </c>
      <c r="Y815">
        <v>10.25</v>
      </c>
      <c r="Z815">
        <v>26.25</v>
      </c>
      <c r="AA815">
        <v>14.75</v>
      </c>
      <c r="AB815">
        <v>2.2970000000000002</v>
      </c>
      <c r="AC815">
        <v>26.87</v>
      </c>
      <c r="AE815">
        <v>1</v>
      </c>
      <c r="AF815" t="s">
        <v>2598</v>
      </c>
      <c r="AG815">
        <v>100</v>
      </c>
      <c r="AK815" t="s">
        <v>291</v>
      </c>
      <c r="AM815" t="s">
        <v>98</v>
      </c>
      <c r="AN815" t="s">
        <v>98</v>
      </c>
      <c r="AO815" t="s">
        <v>291</v>
      </c>
      <c r="AP815" t="s">
        <v>99</v>
      </c>
      <c r="AQ815" t="s">
        <v>102</v>
      </c>
      <c r="AV815" t="s">
        <v>98</v>
      </c>
      <c r="AX815" t="s">
        <v>302</v>
      </c>
      <c r="AZ815" t="s">
        <v>2118</v>
      </c>
      <c r="BB815" t="s">
        <v>54</v>
      </c>
      <c r="BC815" t="s">
        <v>2599</v>
      </c>
      <c r="BF815" t="s">
        <v>2647</v>
      </c>
      <c r="BG815" t="s">
        <v>98</v>
      </c>
      <c r="BH815" t="s">
        <v>98</v>
      </c>
      <c r="BI815" t="s">
        <v>98</v>
      </c>
      <c r="BK815" t="s">
        <v>138</v>
      </c>
      <c r="BU815">
        <v>6</v>
      </c>
      <c r="BW815">
        <v>0.75</v>
      </c>
      <c r="BX815" t="s">
        <v>2218</v>
      </c>
      <c r="BY815" t="s">
        <v>291</v>
      </c>
      <c r="BZ815" t="s">
        <v>302</v>
      </c>
      <c r="CA815" t="s">
        <v>2639</v>
      </c>
      <c r="CB815" t="s">
        <v>302</v>
      </c>
      <c r="CC815">
        <v>168</v>
      </c>
      <c r="CD815">
        <v>0.66</v>
      </c>
      <c r="CE815">
        <v>79</v>
      </c>
      <c r="CF815">
        <v>5754.77</v>
      </c>
      <c r="CL815" t="s">
        <v>291</v>
      </c>
      <c r="CM815" t="s">
        <v>98</v>
      </c>
      <c r="CO815" s="1">
        <v>37404</v>
      </c>
      <c r="CP815" s="1">
        <v>43595</v>
      </c>
    </row>
    <row r="816" spans="1:94" x14ac:dyDescent="0.25">
      <c r="A816" s="4" t="s">
        <v>2648</v>
      </c>
      <c r="B816" t="str">
        <f xml:space="preserve"> "" &amp; 706411010293</f>
        <v>706411010293</v>
      </c>
      <c r="C816" t="s">
        <v>2178</v>
      </c>
      <c r="D816" t="s">
        <v>4499</v>
      </c>
      <c r="E816" t="str">
        <f xml:space="preserve"> "SUNDANCE" &amp;  CHAR(153) &amp; ""</f>
        <v>SUNDANCE™</v>
      </c>
      <c r="F816" t="s">
        <v>2113</v>
      </c>
      <c r="G816">
        <v>1</v>
      </c>
      <c r="H816">
        <v>1</v>
      </c>
      <c r="I816" t="s">
        <v>97</v>
      </c>
      <c r="J816" s="32">
        <v>99.95</v>
      </c>
      <c r="K816" s="32">
        <v>299.85000000000002</v>
      </c>
      <c r="L816">
        <v>0</v>
      </c>
      <c r="N816">
        <v>0</v>
      </c>
      <c r="S816">
        <v>12</v>
      </c>
      <c r="T816">
        <v>52</v>
      </c>
      <c r="U816">
        <v>52</v>
      </c>
      <c r="W816">
        <v>15.87</v>
      </c>
      <c r="X816">
        <v>1</v>
      </c>
      <c r="Y816">
        <v>11.25</v>
      </c>
      <c r="Z816">
        <v>20.13</v>
      </c>
      <c r="AA816">
        <v>14.5</v>
      </c>
      <c r="AB816">
        <v>1.9</v>
      </c>
      <c r="AC816">
        <v>19.18</v>
      </c>
      <c r="AK816" t="s">
        <v>98</v>
      </c>
      <c r="AM816" t="s">
        <v>98</v>
      </c>
      <c r="AN816" t="s">
        <v>98</v>
      </c>
      <c r="AO816" t="s">
        <v>291</v>
      </c>
      <c r="AP816" t="s">
        <v>99</v>
      </c>
      <c r="AQ816" t="s">
        <v>102</v>
      </c>
      <c r="AV816" t="s">
        <v>98</v>
      </c>
      <c r="AX816" t="s">
        <v>245</v>
      </c>
      <c r="AZ816" t="s">
        <v>2235</v>
      </c>
      <c r="BC816" t="s">
        <v>485</v>
      </c>
      <c r="BF816" t="s">
        <v>2649</v>
      </c>
      <c r="BG816" t="s">
        <v>98</v>
      </c>
      <c r="BH816" t="s">
        <v>98</v>
      </c>
      <c r="BI816" t="s">
        <v>98</v>
      </c>
      <c r="BJ816" t="s">
        <v>291</v>
      </c>
      <c r="BK816" t="s">
        <v>292</v>
      </c>
      <c r="BU816">
        <v>6</v>
      </c>
      <c r="BW816">
        <v>0.75</v>
      </c>
      <c r="BX816" t="s">
        <v>2443</v>
      </c>
      <c r="BY816" t="s">
        <v>98</v>
      </c>
      <c r="BZ816" t="s">
        <v>2650</v>
      </c>
      <c r="CA816" t="s">
        <v>2651</v>
      </c>
      <c r="CB816" t="s">
        <v>245</v>
      </c>
      <c r="CC816">
        <v>184</v>
      </c>
      <c r="CD816">
        <v>0.55500000000000005</v>
      </c>
      <c r="CE816">
        <v>63.3</v>
      </c>
      <c r="CF816">
        <v>5596</v>
      </c>
      <c r="CL816" t="s">
        <v>98</v>
      </c>
      <c r="CM816" t="s">
        <v>291</v>
      </c>
      <c r="CO816" s="1">
        <v>38626</v>
      </c>
      <c r="CP816" s="1">
        <v>43595</v>
      </c>
    </row>
    <row r="817" spans="1:94" x14ac:dyDescent="0.25">
      <c r="A817" s="4" t="s">
        <v>2652</v>
      </c>
      <c r="B817" t="str">
        <f xml:space="preserve"> "" &amp; 706411444203</f>
        <v>706411444203</v>
      </c>
      <c r="C817" t="s">
        <v>2178</v>
      </c>
      <c r="D817" t="s">
        <v>4499</v>
      </c>
      <c r="E817" t="str">
        <f xml:space="preserve"> "SUNDANCE" &amp;  CHAR(153) &amp; ""</f>
        <v>SUNDANCE™</v>
      </c>
      <c r="F817" t="s">
        <v>2113</v>
      </c>
      <c r="G817">
        <v>1</v>
      </c>
      <c r="H817">
        <v>1</v>
      </c>
      <c r="I817" t="s">
        <v>97</v>
      </c>
      <c r="J817" s="32">
        <v>89.95</v>
      </c>
      <c r="K817" s="32">
        <v>269.85000000000002</v>
      </c>
      <c r="L817">
        <v>0</v>
      </c>
      <c r="N817">
        <v>0</v>
      </c>
      <c r="S817">
        <v>12</v>
      </c>
      <c r="T817">
        <v>52</v>
      </c>
      <c r="U817">
        <v>52</v>
      </c>
      <c r="W817">
        <v>15.87</v>
      </c>
      <c r="X817">
        <v>1</v>
      </c>
      <c r="Y817">
        <v>11.25</v>
      </c>
      <c r="Z817">
        <v>20.13</v>
      </c>
      <c r="AA817">
        <v>14.5</v>
      </c>
      <c r="AB817">
        <v>1.9</v>
      </c>
      <c r="AC817">
        <v>19.18</v>
      </c>
      <c r="AK817" t="s">
        <v>98</v>
      </c>
      <c r="AM817" t="s">
        <v>98</v>
      </c>
      <c r="AN817" t="s">
        <v>98</v>
      </c>
      <c r="AO817" t="s">
        <v>291</v>
      </c>
      <c r="AP817" t="s">
        <v>99</v>
      </c>
      <c r="AQ817" t="s">
        <v>102</v>
      </c>
      <c r="AV817" t="s">
        <v>98</v>
      </c>
      <c r="AX817" t="s">
        <v>302</v>
      </c>
      <c r="AZ817" t="s">
        <v>2235</v>
      </c>
      <c r="BC817" t="s">
        <v>485</v>
      </c>
      <c r="BF817" t="s">
        <v>2653</v>
      </c>
      <c r="BG817" t="s">
        <v>98</v>
      </c>
      <c r="BH817" t="s">
        <v>98</v>
      </c>
      <c r="BI817" t="s">
        <v>98</v>
      </c>
      <c r="BJ817" t="s">
        <v>291</v>
      </c>
      <c r="BK817" t="s">
        <v>292</v>
      </c>
      <c r="BU817">
        <v>6</v>
      </c>
      <c r="BW817">
        <v>0.75</v>
      </c>
      <c r="BX817" t="s">
        <v>2443</v>
      </c>
      <c r="BY817" t="s">
        <v>98</v>
      </c>
      <c r="BZ817" t="s">
        <v>302</v>
      </c>
      <c r="CA817" t="s">
        <v>2651</v>
      </c>
      <c r="CB817" t="s">
        <v>302</v>
      </c>
      <c r="CC817">
        <v>184</v>
      </c>
      <c r="CD817">
        <v>0.55500000000000005</v>
      </c>
      <c r="CE817">
        <v>63.3</v>
      </c>
      <c r="CF817">
        <v>5596</v>
      </c>
      <c r="CL817" t="s">
        <v>98</v>
      </c>
      <c r="CM817" t="s">
        <v>291</v>
      </c>
      <c r="CO817" s="1">
        <v>38779</v>
      </c>
      <c r="CP817" s="1">
        <v>43595</v>
      </c>
    </row>
    <row r="818" spans="1:94" x14ac:dyDescent="0.25">
      <c r="A818" s="4" t="s">
        <v>2654</v>
      </c>
      <c r="B818" t="str">
        <f xml:space="preserve"> "" &amp; 706411010316</f>
        <v>706411010316</v>
      </c>
      <c r="C818" t="s">
        <v>2178</v>
      </c>
      <c r="D818" t="s">
        <v>4498</v>
      </c>
      <c r="E818" t="str">
        <f xml:space="preserve"> "SUNDANCE" &amp;  CHAR(153) &amp; ""</f>
        <v>SUNDANCE™</v>
      </c>
      <c r="F818" t="s">
        <v>2113</v>
      </c>
      <c r="G818">
        <v>1</v>
      </c>
      <c r="H818">
        <v>1</v>
      </c>
      <c r="I818" t="s">
        <v>97</v>
      </c>
      <c r="J818" s="32">
        <v>79.95</v>
      </c>
      <c r="K818" s="32">
        <v>239.85</v>
      </c>
      <c r="L818">
        <v>0</v>
      </c>
      <c r="N818">
        <v>0</v>
      </c>
      <c r="S818">
        <v>14.75</v>
      </c>
      <c r="T818">
        <v>42</v>
      </c>
      <c r="U818">
        <v>42</v>
      </c>
      <c r="W818">
        <v>12.57</v>
      </c>
      <c r="X818">
        <v>1</v>
      </c>
      <c r="Y818">
        <v>11.625</v>
      </c>
      <c r="Z818">
        <v>16.75</v>
      </c>
      <c r="AA818">
        <v>11.436999999999999</v>
      </c>
      <c r="AB818">
        <v>1.2889999999999999</v>
      </c>
      <c r="AC818">
        <v>15.26</v>
      </c>
      <c r="AK818" t="s">
        <v>98</v>
      </c>
      <c r="AM818" t="s">
        <v>98</v>
      </c>
      <c r="AN818" t="s">
        <v>98</v>
      </c>
      <c r="AO818" t="s">
        <v>291</v>
      </c>
      <c r="AP818" t="s">
        <v>99</v>
      </c>
      <c r="AQ818" t="s">
        <v>102</v>
      </c>
      <c r="AV818" t="s">
        <v>98</v>
      </c>
      <c r="AX818" t="s">
        <v>245</v>
      </c>
      <c r="AZ818" t="s">
        <v>2235</v>
      </c>
      <c r="BC818" t="s">
        <v>485</v>
      </c>
      <c r="BF818" t="s">
        <v>2655</v>
      </c>
      <c r="BG818" t="s">
        <v>98</v>
      </c>
      <c r="BH818" t="s">
        <v>98</v>
      </c>
      <c r="BI818" t="s">
        <v>98</v>
      </c>
      <c r="BJ818" t="s">
        <v>291</v>
      </c>
      <c r="BK818" t="s">
        <v>292</v>
      </c>
      <c r="BU818">
        <v>6</v>
      </c>
      <c r="BW818">
        <v>0.75</v>
      </c>
      <c r="BX818" t="s">
        <v>2443</v>
      </c>
      <c r="BY818" t="s">
        <v>98</v>
      </c>
      <c r="BZ818" t="s">
        <v>2650</v>
      </c>
      <c r="CA818" t="s">
        <v>2656</v>
      </c>
      <c r="CB818" t="s">
        <v>245</v>
      </c>
      <c r="CC818">
        <v>235</v>
      </c>
      <c r="CD818">
        <v>0.45800000000000002</v>
      </c>
      <c r="CE818">
        <v>54.65</v>
      </c>
      <c r="CF818">
        <v>3410.19</v>
      </c>
      <c r="CL818" t="s">
        <v>98</v>
      </c>
      <c r="CM818" t="s">
        <v>291</v>
      </c>
      <c r="CN818" t="s">
        <v>2657</v>
      </c>
      <c r="CO818" s="1">
        <v>38336</v>
      </c>
      <c r="CP818" s="1">
        <v>43595</v>
      </c>
    </row>
    <row r="819" spans="1:94" x14ac:dyDescent="0.25">
      <c r="A819" s="4" t="s">
        <v>2658</v>
      </c>
      <c r="B819" t="str">
        <f xml:space="preserve"> "" &amp; 706411200328</f>
        <v>706411200328</v>
      </c>
      <c r="C819" t="s">
        <v>2178</v>
      </c>
      <c r="D819" t="s">
        <v>4498</v>
      </c>
      <c r="E819" t="str">
        <f xml:space="preserve"> "SUNDANCE" &amp;  CHAR(153) &amp; ""</f>
        <v>SUNDANCE™</v>
      </c>
      <c r="F819" t="s">
        <v>2113</v>
      </c>
      <c r="G819">
        <v>1</v>
      </c>
      <c r="H819">
        <v>1</v>
      </c>
      <c r="I819" t="s">
        <v>97</v>
      </c>
      <c r="J819" s="32">
        <v>79.95</v>
      </c>
      <c r="K819" s="32">
        <v>239.85</v>
      </c>
      <c r="L819">
        <v>0</v>
      </c>
      <c r="N819">
        <v>0</v>
      </c>
      <c r="S819">
        <v>14.75</v>
      </c>
      <c r="T819">
        <v>42</v>
      </c>
      <c r="U819">
        <v>42</v>
      </c>
      <c r="W819">
        <v>12.57</v>
      </c>
      <c r="X819">
        <v>1</v>
      </c>
      <c r="Y819">
        <v>11.625</v>
      </c>
      <c r="Z819">
        <v>16.75</v>
      </c>
      <c r="AA819">
        <v>11.43</v>
      </c>
      <c r="AB819">
        <v>1.288</v>
      </c>
      <c r="AC819">
        <v>15.26</v>
      </c>
      <c r="AK819" t="s">
        <v>98</v>
      </c>
      <c r="AM819" t="s">
        <v>98</v>
      </c>
      <c r="AN819" t="s">
        <v>98</v>
      </c>
      <c r="AO819" t="s">
        <v>291</v>
      </c>
      <c r="AP819" t="s">
        <v>99</v>
      </c>
      <c r="AQ819" t="s">
        <v>102</v>
      </c>
      <c r="AV819" t="s">
        <v>98</v>
      </c>
      <c r="AX819" t="s">
        <v>302</v>
      </c>
      <c r="AZ819" t="s">
        <v>2235</v>
      </c>
      <c r="BC819" t="s">
        <v>485</v>
      </c>
      <c r="BF819" t="s">
        <v>2659</v>
      </c>
      <c r="BG819" t="s">
        <v>98</v>
      </c>
      <c r="BH819" t="s">
        <v>98</v>
      </c>
      <c r="BI819" t="s">
        <v>98</v>
      </c>
      <c r="BJ819" t="s">
        <v>291</v>
      </c>
      <c r="BK819" t="s">
        <v>292</v>
      </c>
      <c r="BU819">
        <v>6</v>
      </c>
      <c r="BW819">
        <v>0.75</v>
      </c>
      <c r="BX819" t="s">
        <v>2443</v>
      </c>
      <c r="BY819" t="s">
        <v>98</v>
      </c>
      <c r="BZ819" t="s">
        <v>302</v>
      </c>
      <c r="CA819" t="s">
        <v>2656</v>
      </c>
      <c r="CB819" t="s">
        <v>302</v>
      </c>
      <c r="CC819">
        <v>235</v>
      </c>
      <c r="CD819">
        <v>0.45800000000000002</v>
      </c>
      <c r="CE819">
        <v>54.65</v>
      </c>
      <c r="CF819">
        <v>3410.19</v>
      </c>
      <c r="CL819" t="s">
        <v>98</v>
      </c>
      <c r="CM819" t="s">
        <v>291</v>
      </c>
      <c r="CN819" t="s">
        <v>2156</v>
      </c>
      <c r="CO819" s="1">
        <v>38336</v>
      </c>
      <c r="CP819" s="1">
        <v>43595</v>
      </c>
    </row>
    <row r="820" spans="1:94" x14ac:dyDescent="0.25">
      <c r="A820" s="4" t="s">
        <v>2660</v>
      </c>
      <c r="B820" t="str">
        <f xml:space="preserve"> "" &amp; 706411010323</f>
        <v>706411010323</v>
      </c>
      <c r="C820" t="s">
        <v>2178</v>
      </c>
      <c r="D820" t="s">
        <v>2661</v>
      </c>
      <c r="E820" t="s">
        <v>2662</v>
      </c>
      <c r="F820" t="s">
        <v>2113</v>
      </c>
      <c r="G820">
        <v>1</v>
      </c>
      <c r="H820">
        <v>1</v>
      </c>
      <c r="I820" t="s">
        <v>97</v>
      </c>
      <c r="J820" s="32">
        <v>214.95</v>
      </c>
      <c r="K820" s="32">
        <v>644.85</v>
      </c>
      <c r="L820">
        <v>0</v>
      </c>
      <c r="N820">
        <v>0</v>
      </c>
      <c r="Q820" t="s">
        <v>291</v>
      </c>
      <c r="R820" s="32">
        <v>429.95</v>
      </c>
      <c r="S820">
        <v>21.75</v>
      </c>
      <c r="T820">
        <v>52</v>
      </c>
      <c r="U820">
        <v>52</v>
      </c>
      <c r="W820">
        <v>35.49</v>
      </c>
      <c r="X820">
        <v>1</v>
      </c>
      <c r="Y820">
        <v>13.75</v>
      </c>
      <c r="Z820">
        <v>26.75</v>
      </c>
      <c r="AA820">
        <v>13.5</v>
      </c>
      <c r="AB820">
        <v>2.8740000000000001</v>
      </c>
      <c r="AC820">
        <v>40.39</v>
      </c>
      <c r="AE820">
        <v>1</v>
      </c>
      <c r="AF820" t="s">
        <v>2663</v>
      </c>
      <c r="AG820">
        <v>100</v>
      </c>
      <c r="AK820" t="s">
        <v>291</v>
      </c>
      <c r="AM820" t="s">
        <v>98</v>
      </c>
      <c r="AN820" t="s">
        <v>98</v>
      </c>
      <c r="AO820" t="s">
        <v>291</v>
      </c>
      <c r="AP820" t="s">
        <v>99</v>
      </c>
      <c r="AQ820" t="s">
        <v>102</v>
      </c>
      <c r="AV820" t="s">
        <v>98</v>
      </c>
      <c r="AX820" t="s">
        <v>298</v>
      </c>
      <c r="AZ820" t="s">
        <v>2235</v>
      </c>
      <c r="BB820" t="s">
        <v>54</v>
      </c>
      <c r="BC820" t="s">
        <v>2664</v>
      </c>
      <c r="BF820" t="s">
        <v>2665</v>
      </c>
      <c r="BG820" t="s">
        <v>98</v>
      </c>
      <c r="BH820" t="s">
        <v>98</v>
      </c>
      <c r="BI820" t="s">
        <v>98</v>
      </c>
      <c r="BJ820" t="s">
        <v>291</v>
      </c>
      <c r="BK820" t="s">
        <v>292</v>
      </c>
      <c r="BU820">
        <v>6</v>
      </c>
      <c r="BW820">
        <v>0.75</v>
      </c>
      <c r="BX820" t="s">
        <v>2218</v>
      </c>
      <c r="BY820" t="s">
        <v>291</v>
      </c>
      <c r="BZ820" t="s">
        <v>2666</v>
      </c>
      <c r="CA820" t="s">
        <v>2667</v>
      </c>
      <c r="CB820" t="s">
        <v>298</v>
      </c>
      <c r="CC820">
        <v>172</v>
      </c>
      <c r="CD820">
        <v>0.65</v>
      </c>
      <c r="CE820">
        <v>79</v>
      </c>
      <c r="CF820">
        <v>5374.56</v>
      </c>
      <c r="CL820" t="s">
        <v>291</v>
      </c>
      <c r="CM820" t="s">
        <v>98</v>
      </c>
      <c r="CN820" t="s">
        <v>2189</v>
      </c>
      <c r="CO820" s="1">
        <v>37553</v>
      </c>
      <c r="CP820" s="1">
        <v>43595</v>
      </c>
    </row>
    <row r="821" spans="1:94" x14ac:dyDescent="0.25">
      <c r="A821" s="4" t="s">
        <v>2668</v>
      </c>
      <c r="B821" t="str">
        <f xml:space="preserve"> "" &amp; 706411018503</f>
        <v>706411018503</v>
      </c>
      <c r="C821" t="s">
        <v>2178</v>
      </c>
      <c r="D821" t="s">
        <v>4479</v>
      </c>
      <c r="E821" t="str">
        <f xml:space="preserve"> "GAUGUIN" &amp;  CHAR(153) &amp; ""</f>
        <v>GAUGUIN™</v>
      </c>
      <c r="F821" t="s">
        <v>2113</v>
      </c>
      <c r="G821">
        <v>1</v>
      </c>
      <c r="H821">
        <v>1</v>
      </c>
      <c r="I821" t="s">
        <v>97</v>
      </c>
      <c r="J821" s="32">
        <v>269.95</v>
      </c>
      <c r="K821" s="32">
        <v>809.85</v>
      </c>
      <c r="L821">
        <v>0</v>
      </c>
      <c r="N821">
        <v>0</v>
      </c>
      <c r="Q821" t="s">
        <v>291</v>
      </c>
      <c r="R821" s="32">
        <v>469.95</v>
      </c>
      <c r="S821">
        <v>14</v>
      </c>
      <c r="T821">
        <v>52</v>
      </c>
      <c r="U821">
        <v>52</v>
      </c>
      <c r="W821">
        <v>24.96</v>
      </c>
      <c r="X821">
        <v>1</v>
      </c>
      <c r="Y821">
        <v>15.95</v>
      </c>
      <c r="Z821">
        <v>24.8</v>
      </c>
      <c r="AA821">
        <v>14.96</v>
      </c>
      <c r="AB821">
        <v>3.4249999999999998</v>
      </c>
      <c r="AC821">
        <v>30.34</v>
      </c>
      <c r="AE821">
        <v>1</v>
      </c>
      <c r="AF821" t="s">
        <v>2669</v>
      </c>
      <c r="AG821">
        <v>50</v>
      </c>
      <c r="AK821" t="s">
        <v>291</v>
      </c>
      <c r="AM821" t="s">
        <v>98</v>
      </c>
      <c r="AN821" t="s">
        <v>98</v>
      </c>
      <c r="AO821" t="s">
        <v>291</v>
      </c>
      <c r="AP821" t="s">
        <v>99</v>
      </c>
      <c r="AQ821" t="s">
        <v>102</v>
      </c>
      <c r="AV821" t="s">
        <v>98</v>
      </c>
      <c r="AX821" t="s">
        <v>317</v>
      </c>
      <c r="AZ821" t="s">
        <v>2118</v>
      </c>
      <c r="BB821" t="s">
        <v>2670</v>
      </c>
      <c r="BF821" t="s">
        <v>2671</v>
      </c>
      <c r="BG821" t="s">
        <v>98</v>
      </c>
      <c r="BH821" t="s">
        <v>98</v>
      </c>
      <c r="BI821" t="s">
        <v>98</v>
      </c>
      <c r="BJ821" t="s">
        <v>291</v>
      </c>
      <c r="BK821" t="s">
        <v>292</v>
      </c>
      <c r="BU821">
        <v>6</v>
      </c>
      <c r="BW821">
        <v>0.75</v>
      </c>
      <c r="BX821" t="s">
        <v>2218</v>
      </c>
      <c r="BY821" t="s">
        <v>291</v>
      </c>
      <c r="BZ821" t="s">
        <v>317</v>
      </c>
      <c r="CA821" t="s">
        <v>2672</v>
      </c>
      <c r="CB821" t="s">
        <v>317</v>
      </c>
      <c r="CC821">
        <v>148</v>
      </c>
      <c r="CD821">
        <v>0.43</v>
      </c>
      <c r="CE821">
        <v>52</v>
      </c>
      <c r="CF821">
        <v>4834.43</v>
      </c>
      <c r="CL821" t="s">
        <v>291</v>
      </c>
      <c r="CM821" t="s">
        <v>98</v>
      </c>
      <c r="CO821" s="1">
        <v>39062</v>
      </c>
      <c r="CP821" s="1">
        <v>43595</v>
      </c>
    </row>
    <row r="822" spans="1:94" x14ac:dyDescent="0.25">
      <c r="A822" s="4" t="s">
        <v>2673</v>
      </c>
      <c r="B822" t="str">
        <f xml:space="preserve"> "" &amp; 706411018510</f>
        <v>706411018510</v>
      </c>
      <c r="C822" t="s">
        <v>2178</v>
      </c>
      <c r="D822" t="s">
        <v>4479</v>
      </c>
      <c r="E822" t="str">
        <f xml:space="preserve"> "GAUGUIN" &amp;  CHAR(153) &amp; ""</f>
        <v>GAUGUIN™</v>
      </c>
      <c r="F822" t="s">
        <v>2113</v>
      </c>
      <c r="G822">
        <v>1</v>
      </c>
      <c r="H822">
        <v>1</v>
      </c>
      <c r="I822" t="s">
        <v>97</v>
      </c>
      <c r="J822" s="32">
        <v>269.95</v>
      </c>
      <c r="K822" s="32">
        <v>809.85</v>
      </c>
      <c r="L822">
        <v>0</v>
      </c>
      <c r="N822">
        <v>0</v>
      </c>
      <c r="Q822" t="s">
        <v>291</v>
      </c>
      <c r="R822" s="32">
        <v>469.95</v>
      </c>
      <c r="S822">
        <v>14</v>
      </c>
      <c r="T822">
        <v>52</v>
      </c>
      <c r="U822">
        <v>52</v>
      </c>
      <c r="W822">
        <v>24.96</v>
      </c>
      <c r="X822">
        <v>1</v>
      </c>
      <c r="Y822">
        <v>15.95</v>
      </c>
      <c r="Z822">
        <v>24.8</v>
      </c>
      <c r="AA822">
        <v>14.96</v>
      </c>
      <c r="AB822">
        <v>3.4249999999999998</v>
      </c>
      <c r="AC822">
        <v>30.34</v>
      </c>
      <c r="AE822">
        <v>1</v>
      </c>
      <c r="AF822" t="s">
        <v>2669</v>
      </c>
      <c r="AG822">
        <v>50</v>
      </c>
      <c r="AK822" t="s">
        <v>291</v>
      </c>
      <c r="AM822" t="s">
        <v>98</v>
      </c>
      <c r="AN822" t="s">
        <v>98</v>
      </c>
      <c r="AO822" t="s">
        <v>291</v>
      </c>
      <c r="AP822" t="s">
        <v>99</v>
      </c>
      <c r="AQ822" t="s">
        <v>102</v>
      </c>
      <c r="AV822" t="s">
        <v>98</v>
      </c>
      <c r="AX822" t="s">
        <v>245</v>
      </c>
      <c r="AZ822" t="s">
        <v>2118</v>
      </c>
      <c r="BF822" t="s">
        <v>2674</v>
      </c>
      <c r="BG822" t="s">
        <v>98</v>
      </c>
      <c r="BH822" t="s">
        <v>98</v>
      </c>
      <c r="BI822" t="s">
        <v>98</v>
      </c>
      <c r="BJ822" t="s">
        <v>291</v>
      </c>
      <c r="BK822" t="s">
        <v>292</v>
      </c>
      <c r="BU822">
        <v>6</v>
      </c>
      <c r="BW822">
        <v>0.75</v>
      </c>
      <c r="BX822" t="s">
        <v>2218</v>
      </c>
      <c r="BY822" t="s">
        <v>291</v>
      </c>
      <c r="BZ822" t="s">
        <v>317</v>
      </c>
      <c r="CA822" t="s">
        <v>2672</v>
      </c>
      <c r="CB822" t="s">
        <v>245</v>
      </c>
      <c r="CC822">
        <v>148</v>
      </c>
      <c r="CD822">
        <v>0.43</v>
      </c>
      <c r="CE822">
        <v>52</v>
      </c>
      <c r="CF822">
        <v>4834.43</v>
      </c>
      <c r="CL822" t="s">
        <v>291</v>
      </c>
      <c r="CM822" t="s">
        <v>98</v>
      </c>
      <c r="CO822" s="1">
        <v>39062</v>
      </c>
      <c r="CP822" s="1">
        <v>43595</v>
      </c>
    </row>
    <row r="823" spans="1:94" x14ac:dyDescent="0.25">
      <c r="A823" s="4" t="s">
        <v>2675</v>
      </c>
      <c r="B823" t="str">
        <f xml:space="preserve"> "" &amp; 706411018497</f>
        <v>706411018497</v>
      </c>
      <c r="C823" t="s">
        <v>2178</v>
      </c>
      <c r="D823" t="s">
        <v>4479</v>
      </c>
      <c r="E823" t="str">
        <f xml:space="preserve"> "GAUGUIN" &amp;  CHAR(153) &amp; ""</f>
        <v>GAUGUIN™</v>
      </c>
      <c r="F823" t="s">
        <v>2113</v>
      </c>
      <c r="G823">
        <v>1</v>
      </c>
      <c r="H823">
        <v>1</v>
      </c>
      <c r="I823" t="s">
        <v>97</v>
      </c>
      <c r="J823" s="32">
        <v>259.95</v>
      </c>
      <c r="K823" s="32">
        <v>779.85</v>
      </c>
      <c r="L823">
        <v>0</v>
      </c>
      <c r="N823">
        <v>0</v>
      </c>
      <c r="Q823" t="s">
        <v>291</v>
      </c>
      <c r="R823" s="32">
        <v>469.95</v>
      </c>
      <c r="S823">
        <v>14</v>
      </c>
      <c r="T823">
        <v>52</v>
      </c>
      <c r="U823">
        <v>52</v>
      </c>
      <c r="W823">
        <v>24.96</v>
      </c>
      <c r="X823">
        <v>1</v>
      </c>
      <c r="Y823">
        <v>15.95</v>
      </c>
      <c r="Z823">
        <v>24.8</v>
      </c>
      <c r="AA823">
        <v>14.96</v>
      </c>
      <c r="AB823">
        <v>3.4249999999999998</v>
      </c>
      <c r="AC823">
        <v>30.34</v>
      </c>
      <c r="AE823">
        <v>1</v>
      </c>
      <c r="AF823" t="s">
        <v>2669</v>
      </c>
      <c r="AG823">
        <v>50</v>
      </c>
      <c r="AK823" t="s">
        <v>291</v>
      </c>
      <c r="AM823" t="s">
        <v>98</v>
      </c>
      <c r="AN823" t="s">
        <v>98</v>
      </c>
      <c r="AO823" t="s">
        <v>291</v>
      </c>
      <c r="AP823" t="s">
        <v>99</v>
      </c>
      <c r="AQ823" t="s">
        <v>102</v>
      </c>
      <c r="AV823" t="s">
        <v>98</v>
      </c>
      <c r="AX823" t="s">
        <v>306</v>
      </c>
      <c r="AZ823" t="s">
        <v>2118</v>
      </c>
      <c r="BF823" t="s">
        <v>2676</v>
      </c>
      <c r="BG823" t="s">
        <v>98</v>
      </c>
      <c r="BH823" t="s">
        <v>98</v>
      </c>
      <c r="BI823" t="s">
        <v>98</v>
      </c>
      <c r="BJ823" t="s">
        <v>291</v>
      </c>
      <c r="BK823" t="s">
        <v>292</v>
      </c>
      <c r="BU823">
        <v>6</v>
      </c>
      <c r="BW823">
        <v>0.75</v>
      </c>
      <c r="BX823" t="s">
        <v>2218</v>
      </c>
      <c r="BY823" t="s">
        <v>291</v>
      </c>
      <c r="BZ823" t="s">
        <v>306</v>
      </c>
      <c r="CA823" t="s">
        <v>2672</v>
      </c>
      <c r="CB823" t="s">
        <v>306</v>
      </c>
      <c r="CC823">
        <v>148</v>
      </c>
      <c r="CD823">
        <v>0.43</v>
      </c>
      <c r="CE823">
        <v>52</v>
      </c>
      <c r="CF823">
        <v>4834.43</v>
      </c>
      <c r="CL823" t="s">
        <v>291</v>
      </c>
      <c r="CM823" t="s">
        <v>98</v>
      </c>
      <c r="CO823" s="1">
        <v>39062</v>
      </c>
      <c r="CP823" s="1">
        <v>43595</v>
      </c>
    </row>
    <row r="824" spans="1:94" x14ac:dyDescent="0.25">
      <c r="A824" s="4" t="s">
        <v>2677</v>
      </c>
      <c r="B824" t="str">
        <f xml:space="preserve"> "" &amp; 706411030390</f>
        <v>706411030390</v>
      </c>
      <c r="C824" t="s">
        <v>2678</v>
      </c>
      <c r="D824" t="s">
        <v>4496</v>
      </c>
      <c r="E824" t="str">
        <f xml:space="preserve"> "RAINMAN" &amp;  CHAR(153) &amp; ""</f>
        <v>RAINMAN™</v>
      </c>
      <c r="F824" t="s">
        <v>2113</v>
      </c>
      <c r="G824">
        <v>1</v>
      </c>
      <c r="H824">
        <v>1</v>
      </c>
      <c r="I824" t="s">
        <v>97</v>
      </c>
      <c r="J824" s="32">
        <v>239.95</v>
      </c>
      <c r="K824" s="32">
        <v>719.85</v>
      </c>
      <c r="L824">
        <v>0</v>
      </c>
      <c r="N824">
        <v>0</v>
      </c>
      <c r="Q824" t="s">
        <v>291</v>
      </c>
      <c r="R824" s="32">
        <v>469.95</v>
      </c>
      <c r="S824">
        <v>23.75</v>
      </c>
      <c r="T824">
        <v>54</v>
      </c>
      <c r="U824">
        <v>54</v>
      </c>
      <c r="W824">
        <v>27.65</v>
      </c>
      <c r="X824">
        <v>1</v>
      </c>
      <c r="Y824">
        <v>15</v>
      </c>
      <c r="Z824">
        <v>20</v>
      </c>
      <c r="AA824">
        <v>20.25</v>
      </c>
      <c r="AB824">
        <v>3.516</v>
      </c>
      <c r="AC824">
        <v>32.85</v>
      </c>
      <c r="AE824">
        <v>1</v>
      </c>
      <c r="AF824" t="s">
        <v>2679</v>
      </c>
      <c r="AG824">
        <v>100</v>
      </c>
      <c r="AK824" t="s">
        <v>291</v>
      </c>
      <c r="AM824" t="s">
        <v>98</v>
      </c>
      <c r="AN824" t="s">
        <v>98</v>
      </c>
      <c r="AO824" t="s">
        <v>291</v>
      </c>
      <c r="AP824" t="s">
        <v>99</v>
      </c>
      <c r="AQ824" t="s">
        <v>102</v>
      </c>
      <c r="AV824" t="s">
        <v>98</v>
      </c>
      <c r="AX824" t="s">
        <v>159</v>
      </c>
      <c r="AZ824" t="s">
        <v>2118</v>
      </c>
      <c r="BB824" t="s">
        <v>54</v>
      </c>
      <c r="BC824" t="s">
        <v>2680</v>
      </c>
      <c r="BF824" t="s">
        <v>2681</v>
      </c>
      <c r="BG824" t="s">
        <v>98</v>
      </c>
      <c r="BH824" t="s">
        <v>98</v>
      </c>
      <c r="BI824" t="s">
        <v>98</v>
      </c>
      <c r="BJ824" t="s">
        <v>291</v>
      </c>
      <c r="BK824" t="s">
        <v>292</v>
      </c>
      <c r="BU824">
        <v>6</v>
      </c>
      <c r="BW824">
        <v>0.75</v>
      </c>
      <c r="BX824" t="s">
        <v>2218</v>
      </c>
      <c r="BY824" t="s">
        <v>291</v>
      </c>
      <c r="BZ824" t="s">
        <v>441</v>
      </c>
      <c r="CA824" t="s">
        <v>2682</v>
      </c>
      <c r="CB824" t="s">
        <v>159</v>
      </c>
      <c r="CC824">
        <v>155</v>
      </c>
      <c r="CD824">
        <v>0.48499999999999999</v>
      </c>
      <c r="CE824">
        <v>58.13</v>
      </c>
      <c r="CF824">
        <v>4933</v>
      </c>
      <c r="CL824" t="s">
        <v>291</v>
      </c>
      <c r="CM824" t="s">
        <v>291</v>
      </c>
      <c r="CN824" t="s">
        <v>2189</v>
      </c>
      <c r="CO824" s="1">
        <v>38754</v>
      </c>
      <c r="CP824" s="1">
        <v>43595</v>
      </c>
    </row>
    <row r="825" spans="1:94" x14ac:dyDescent="0.25">
      <c r="A825" s="4" t="s">
        <v>2683</v>
      </c>
      <c r="B825" t="str">
        <f xml:space="preserve"> "" &amp; 706411042812</f>
        <v>706411042812</v>
      </c>
      <c r="C825" t="s">
        <v>2178</v>
      </c>
      <c r="D825" t="s">
        <v>4496</v>
      </c>
      <c r="E825" t="str">
        <f xml:space="preserve"> "RAINMAN" &amp;  CHAR(153) &amp; ""</f>
        <v>RAINMAN™</v>
      </c>
      <c r="F825" t="s">
        <v>2113</v>
      </c>
      <c r="G825">
        <v>1</v>
      </c>
      <c r="H825">
        <v>1</v>
      </c>
      <c r="I825" t="s">
        <v>97</v>
      </c>
      <c r="J825" s="32">
        <v>239.95</v>
      </c>
      <c r="K825" s="32">
        <v>719.85</v>
      </c>
      <c r="L825">
        <v>0</v>
      </c>
      <c r="N825">
        <v>0</v>
      </c>
      <c r="Q825" t="s">
        <v>291</v>
      </c>
      <c r="R825" s="32">
        <v>469.95</v>
      </c>
      <c r="S825">
        <v>23.75</v>
      </c>
      <c r="T825">
        <v>54</v>
      </c>
      <c r="U825">
        <v>54</v>
      </c>
      <c r="W825">
        <v>27.65</v>
      </c>
      <c r="X825">
        <v>1</v>
      </c>
      <c r="Y825">
        <v>15</v>
      </c>
      <c r="Z825">
        <v>20</v>
      </c>
      <c r="AA825">
        <v>20.25</v>
      </c>
      <c r="AB825">
        <v>3.516</v>
      </c>
      <c r="AC825">
        <v>32.85</v>
      </c>
      <c r="AE825">
        <v>1</v>
      </c>
      <c r="AF825" t="s">
        <v>2186</v>
      </c>
      <c r="AG825">
        <v>100</v>
      </c>
      <c r="AK825" t="s">
        <v>291</v>
      </c>
      <c r="AM825" t="s">
        <v>98</v>
      </c>
      <c r="AN825" t="s">
        <v>98</v>
      </c>
      <c r="AO825" t="s">
        <v>291</v>
      </c>
      <c r="AP825" t="s">
        <v>99</v>
      </c>
      <c r="AQ825" t="s">
        <v>102</v>
      </c>
      <c r="AV825" t="s">
        <v>98</v>
      </c>
      <c r="AX825" t="s">
        <v>205</v>
      </c>
      <c r="AZ825" t="s">
        <v>2118</v>
      </c>
      <c r="BB825" t="s">
        <v>106</v>
      </c>
      <c r="BC825" t="s">
        <v>2684</v>
      </c>
      <c r="BF825" t="s">
        <v>2685</v>
      </c>
      <c r="BG825" t="s">
        <v>98</v>
      </c>
      <c r="BH825" t="s">
        <v>98</v>
      </c>
      <c r="BI825" t="s">
        <v>98</v>
      </c>
      <c r="BJ825" t="s">
        <v>291</v>
      </c>
      <c r="BK825" t="s">
        <v>292</v>
      </c>
      <c r="BU825">
        <v>6</v>
      </c>
      <c r="BW825">
        <v>0.75</v>
      </c>
      <c r="BX825">
        <v>14</v>
      </c>
      <c r="BY825" t="s">
        <v>291</v>
      </c>
      <c r="BZ825" t="s">
        <v>441</v>
      </c>
      <c r="CA825" t="s">
        <v>2682</v>
      </c>
      <c r="CB825" t="s">
        <v>205</v>
      </c>
      <c r="CC825">
        <v>155</v>
      </c>
      <c r="CD825">
        <v>0.48499999999999999</v>
      </c>
      <c r="CE825">
        <v>58.13</v>
      </c>
      <c r="CF825">
        <v>4993</v>
      </c>
      <c r="CL825" t="s">
        <v>291</v>
      </c>
      <c r="CM825" t="s">
        <v>291</v>
      </c>
      <c r="CN825" t="s">
        <v>2156</v>
      </c>
      <c r="CO825" s="1">
        <v>40960</v>
      </c>
      <c r="CP825" s="1">
        <v>43595</v>
      </c>
    </row>
    <row r="826" spans="1:94" x14ac:dyDescent="0.25">
      <c r="A826" s="4" t="s">
        <v>2686</v>
      </c>
      <c r="B826" t="str">
        <f xml:space="preserve"> "" &amp; 706411030079</f>
        <v>706411030079</v>
      </c>
      <c r="C826" t="s">
        <v>2178</v>
      </c>
      <c r="D826" t="s">
        <v>4496</v>
      </c>
      <c r="E826" t="str">
        <f xml:space="preserve"> "RAINMAN" &amp;  CHAR(153) &amp; ""</f>
        <v>RAINMAN™</v>
      </c>
      <c r="F826" t="s">
        <v>2113</v>
      </c>
      <c r="G826">
        <v>1</v>
      </c>
      <c r="H826">
        <v>1</v>
      </c>
      <c r="I826" t="s">
        <v>97</v>
      </c>
      <c r="J826" s="32">
        <v>239.95</v>
      </c>
      <c r="K826" s="32">
        <v>719.85</v>
      </c>
      <c r="L826">
        <v>0</v>
      </c>
      <c r="N826">
        <v>0</v>
      </c>
      <c r="Q826" t="s">
        <v>291</v>
      </c>
      <c r="R826" s="32">
        <v>469.95</v>
      </c>
      <c r="S826">
        <v>23.75</v>
      </c>
      <c r="T826">
        <v>54</v>
      </c>
      <c r="U826">
        <v>54</v>
      </c>
      <c r="W826">
        <v>27.65</v>
      </c>
      <c r="X826">
        <v>1</v>
      </c>
      <c r="Y826">
        <v>15</v>
      </c>
      <c r="Z826">
        <v>20</v>
      </c>
      <c r="AA826">
        <v>20.25</v>
      </c>
      <c r="AB826">
        <v>3.516</v>
      </c>
      <c r="AC826">
        <v>32.85</v>
      </c>
      <c r="AE826">
        <v>1</v>
      </c>
      <c r="AF826" t="s">
        <v>2598</v>
      </c>
      <c r="AG826">
        <v>100</v>
      </c>
      <c r="AK826" t="s">
        <v>291</v>
      </c>
      <c r="AM826" t="s">
        <v>98</v>
      </c>
      <c r="AN826" t="s">
        <v>98</v>
      </c>
      <c r="AO826" t="s">
        <v>291</v>
      </c>
      <c r="AP826" t="s">
        <v>99</v>
      </c>
      <c r="AQ826" t="s">
        <v>102</v>
      </c>
      <c r="AV826" t="s">
        <v>98</v>
      </c>
      <c r="AX826" t="s">
        <v>245</v>
      </c>
      <c r="AZ826" t="s">
        <v>2118</v>
      </c>
      <c r="BB826" t="s">
        <v>54</v>
      </c>
      <c r="BC826" t="s">
        <v>2687</v>
      </c>
      <c r="BF826" t="s">
        <v>2688</v>
      </c>
      <c r="BG826" t="s">
        <v>98</v>
      </c>
      <c r="BH826" t="s">
        <v>98</v>
      </c>
      <c r="BI826" t="s">
        <v>98</v>
      </c>
      <c r="BJ826" t="s">
        <v>291</v>
      </c>
      <c r="BK826" t="s">
        <v>292</v>
      </c>
      <c r="BU826">
        <v>6</v>
      </c>
      <c r="BW826">
        <v>0.75</v>
      </c>
      <c r="BX826" t="s">
        <v>2218</v>
      </c>
      <c r="BY826" t="s">
        <v>291</v>
      </c>
      <c r="BZ826" t="s">
        <v>2689</v>
      </c>
      <c r="CA826" t="s">
        <v>2682</v>
      </c>
      <c r="CB826" t="s">
        <v>245</v>
      </c>
      <c r="CC826">
        <v>155</v>
      </c>
      <c r="CD826">
        <v>0.48199999999999998</v>
      </c>
      <c r="CE826">
        <v>58.13</v>
      </c>
      <c r="CF826">
        <v>4933</v>
      </c>
      <c r="CL826" t="s">
        <v>291</v>
      </c>
      <c r="CM826" t="s">
        <v>291</v>
      </c>
      <c r="CN826" t="s">
        <v>2228</v>
      </c>
      <c r="CO826" s="1">
        <v>38754</v>
      </c>
      <c r="CP826" s="1">
        <v>43595</v>
      </c>
    </row>
    <row r="827" spans="1:94" x14ac:dyDescent="0.25">
      <c r="A827" s="4" t="s">
        <v>2690</v>
      </c>
      <c r="B827" t="str">
        <f xml:space="preserve"> "" &amp; 706411056529</f>
        <v>706411056529</v>
      </c>
      <c r="C827" t="s">
        <v>2678</v>
      </c>
      <c r="D827" t="s">
        <v>4496</v>
      </c>
      <c r="E827" t="str">
        <f xml:space="preserve"> "RAINMAN" &amp;  CHAR(153) &amp; ""</f>
        <v>RAINMAN™</v>
      </c>
      <c r="F827" t="s">
        <v>2113</v>
      </c>
      <c r="G827">
        <v>1</v>
      </c>
      <c r="H827">
        <v>1</v>
      </c>
      <c r="I827" t="s">
        <v>97</v>
      </c>
      <c r="J827" s="32">
        <v>239.95</v>
      </c>
      <c r="K827" s="32">
        <v>719.85</v>
      </c>
      <c r="L827">
        <v>0</v>
      </c>
      <c r="N827">
        <v>0</v>
      </c>
      <c r="Q827" t="s">
        <v>291</v>
      </c>
      <c r="R827" s="32">
        <v>469.95</v>
      </c>
      <c r="S827">
        <v>23.75</v>
      </c>
      <c r="T827">
        <v>54</v>
      </c>
      <c r="U827">
        <v>54</v>
      </c>
      <c r="W827">
        <v>27.65</v>
      </c>
      <c r="X827">
        <v>1</v>
      </c>
      <c r="Y827">
        <v>15</v>
      </c>
      <c r="Z827">
        <v>20</v>
      </c>
      <c r="AA827">
        <v>20.25</v>
      </c>
      <c r="AB827">
        <v>3.516</v>
      </c>
      <c r="AC827">
        <v>32.85</v>
      </c>
      <c r="AE827">
        <v>1</v>
      </c>
      <c r="AF827" t="s">
        <v>2691</v>
      </c>
      <c r="AG827">
        <v>100</v>
      </c>
      <c r="AK827" t="s">
        <v>291</v>
      </c>
      <c r="AM827" t="s">
        <v>98</v>
      </c>
      <c r="AN827" t="s">
        <v>98</v>
      </c>
      <c r="AO827" t="s">
        <v>98</v>
      </c>
      <c r="AP827" t="s">
        <v>99</v>
      </c>
      <c r="AQ827" t="s">
        <v>102</v>
      </c>
      <c r="AV827" t="s">
        <v>98</v>
      </c>
      <c r="AX827" t="s">
        <v>269</v>
      </c>
      <c r="AZ827" t="s">
        <v>535</v>
      </c>
      <c r="BB827" t="s">
        <v>106</v>
      </c>
      <c r="BC827" t="s">
        <v>269</v>
      </c>
      <c r="BF827" t="s">
        <v>2692</v>
      </c>
      <c r="BG827" t="s">
        <v>98</v>
      </c>
      <c r="BH827" t="s">
        <v>98</v>
      </c>
      <c r="BI827" t="s">
        <v>98</v>
      </c>
      <c r="BJ827" t="s">
        <v>291</v>
      </c>
      <c r="BK827" t="s">
        <v>292</v>
      </c>
      <c r="BU827">
        <v>6</v>
      </c>
      <c r="BW827">
        <v>0.75</v>
      </c>
      <c r="BX827" t="s">
        <v>2206</v>
      </c>
      <c r="BY827" t="s">
        <v>291</v>
      </c>
      <c r="BZ827" t="s">
        <v>269</v>
      </c>
      <c r="CA827" t="s">
        <v>2682</v>
      </c>
      <c r="CB827" t="s">
        <v>269</v>
      </c>
      <c r="CC827">
        <v>155</v>
      </c>
      <c r="CD827">
        <v>0.48499999999999999</v>
      </c>
      <c r="CE827">
        <v>58.13</v>
      </c>
      <c r="CF827">
        <v>4933</v>
      </c>
      <c r="CL827" t="s">
        <v>291</v>
      </c>
      <c r="CM827" t="s">
        <v>291</v>
      </c>
      <c r="CO827" s="1">
        <v>42754</v>
      </c>
      <c r="CP827" s="1">
        <v>43595</v>
      </c>
    </row>
    <row r="828" spans="1:94" x14ac:dyDescent="0.25">
      <c r="A828" s="4" t="s">
        <v>2693</v>
      </c>
      <c r="B828" t="str">
        <f xml:space="preserve"> "" &amp; 706411034732</f>
        <v>706411034732</v>
      </c>
      <c r="C828" t="s">
        <v>2178</v>
      </c>
      <c r="D828" t="s">
        <v>4502</v>
      </c>
      <c r="E828" t="str">
        <f xml:space="preserve"> "ULTRA-MAX" &amp;  CHAR(153) &amp; ""</f>
        <v>ULTRA-MAX™</v>
      </c>
      <c r="F828" t="s">
        <v>2113</v>
      </c>
      <c r="G828">
        <v>1</v>
      </c>
      <c r="H828">
        <v>1</v>
      </c>
      <c r="I828" t="s">
        <v>97</v>
      </c>
      <c r="J828" s="32">
        <v>168.95</v>
      </c>
      <c r="K828" s="32">
        <v>506.85</v>
      </c>
      <c r="L828">
        <v>0</v>
      </c>
      <c r="N828">
        <v>0</v>
      </c>
      <c r="Q828" t="s">
        <v>291</v>
      </c>
      <c r="R828" s="32">
        <v>299.95</v>
      </c>
      <c r="S828">
        <v>12</v>
      </c>
      <c r="T828">
        <v>54</v>
      </c>
      <c r="U828">
        <v>54</v>
      </c>
      <c r="W828">
        <v>23.59</v>
      </c>
      <c r="X828">
        <v>1</v>
      </c>
      <c r="Y828">
        <v>9.3800000000000008</v>
      </c>
      <c r="Z828">
        <v>20.5</v>
      </c>
      <c r="AA828">
        <v>14.88</v>
      </c>
      <c r="AB828">
        <v>1.6559999999999999</v>
      </c>
      <c r="AC828">
        <v>26.01</v>
      </c>
      <c r="AK828" t="s">
        <v>98</v>
      </c>
      <c r="AM828" t="s">
        <v>98</v>
      </c>
      <c r="AN828" t="s">
        <v>98</v>
      </c>
      <c r="AO828" t="s">
        <v>291</v>
      </c>
      <c r="AP828" t="s">
        <v>99</v>
      </c>
      <c r="AQ828" t="s">
        <v>102</v>
      </c>
      <c r="AV828" t="s">
        <v>98</v>
      </c>
      <c r="AX828" t="s">
        <v>136</v>
      </c>
      <c r="AZ828" t="s">
        <v>2235</v>
      </c>
      <c r="BC828" t="s">
        <v>485</v>
      </c>
      <c r="BF828" t="s">
        <v>2694</v>
      </c>
      <c r="BG828" t="s">
        <v>98</v>
      </c>
      <c r="BH828" t="s">
        <v>98</v>
      </c>
      <c r="BI828" t="s">
        <v>98</v>
      </c>
      <c r="BK828" t="s">
        <v>138</v>
      </c>
      <c r="BU828">
        <v>6</v>
      </c>
      <c r="BW828">
        <v>0.75</v>
      </c>
      <c r="BX828" t="s">
        <v>2218</v>
      </c>
      <c r="BY828" t="s">
        <v>98</v>
      </c>
      <c r="BZ828" t="s">
        <v>2456</v>
      </c>
      <c r="CA828" t="s">
        <v>2695</v>
      </c>
      <c r="CB828" t="s">
        <v>136</v>
      </c>
      <c r="CC828">
        <v>201</v>
      </c>
      <c r="CD828">
        <v>0.64</v>
      </c>
      <c r="CE828">
        <v>76.400000000000006</v>
      </c>
      <c r="CF828">
        <v>6341</v>
      </c>
      <c r="CL828" t="s">
        <v>98</v>
      </c>
      <c r="CM828" t="s">
        <v>291</v>
      </c>
      <c r="CO828" s="1">
        <v>39531</v>
      </c>
      <c r="CP828" s="1">
        <v>43595</v>
      </c>
    </row>
    <row r="829" spans="1:94" x14ac:dyDescent="0.25">
      <c r="A829" s="4" t="s">
        <v>2696</v>
      </c>
      <c r="B829" t="str">
        <f xml:space="preserve"> "" &amp; 706411019500</f>
        <v>706411019500</v>
      </c>
      <c r="C829" t="s">
        <v>2178</v>
      </c>
      <c r="D829" t="s">
        <v>4502</v>
      </c>
      <c r="E829" t="str">
        <f xml:space="preserve"> "ULTRA-MAX" &amp;  CHAR(153) &amp; ""</f>
        <v>ULTRA-MAX™</v>
      </c>
      <c r="F829" t="s">
        <v>2113</v>
      </c>
      <c r="G829">
        <v>1</v>
      </c>
      <c r="H829">
        <v>1</v>
      </c>
      <c r="I829" t="s">
        <v>97</v>
      </c>
      <c r="J829" s="32">
        <v>168.95</v>
      </c>
      <c r="K829" s="32">
        <v>506.85</v>
      </c>
      <c r="L829">
        <v>0</v>
      </c>
      <c r="N829">
        <v>0</v>
      </c>
      <c r="Q829" t="s">
        <v>291</v>
      </c>
      <c r="R829" s="32">
        <v>299.95</v>
      </c>
      <c r="S829">
        <v>12</v>
      </c>
      <c r="T829">
        <v>54</v>
      </c>
      <c r="U829">
        <v>54</v>
      </c>
      <c r="W829">
        <v>23.59</v>
      </c>
      <c r="X829">
        <v>1</v>
      </c>
      <c r="Y829">
        <v>9.3800000000000008</v>
      </c>
      <c r="Z829">
        <v>20.5</v>
      </c>
      <c r="AA829">
        <v>14.88</v>
      </c>
      <c r="AB829">
        <v>1.6559999999999999</v>
      </c>
      <c r="AC829">
        <v>26.01</v>
      </c>
      <c r="AK829" t="s">
        <v>98</v>
      </c>
      <c r="AM829" t="s">
        <v>98</v>
      </c>
      <c r="AN829" t="s">
        <v>98</v>
      </c>
      <c r="AO829" t="s">
        <v>291</v>
      </c>
      <c r="AP829" t="s">
        <v>99</v>
      </c>
      <c r="AQ829" t="s">
        <v>102</v>
      </c>
      <c r="AV829" t="s">
        <v>98</v>
      </c>
      <c r="AX829" t="s">
        <v>150</v>
      </c>
      <c r="AZ829" t="s">
        <v>2235</v>
      </c>
      <c r="BC829" t="s">
        <v>485</v>
      </c>
      <c r="BF829" t="s">
        <v>2697</v>
      </c>
      <c r="BG829" t="s">
        <v>98</v>
      </c>
      <c r="BH829" t="s">
        <v>98</v>
      </c>
      <c r="BI829" t="s">
        <v>98</v>
      </c>
      <c r="BK829" t="s">
        <v>138</v>
      </c>
      <c r="BU829">
        <v>6</v>
      </c>
      <c r="BW829">
        <v>0.75</v>
      </c>
      <c r="BX829" t="s">
        <v>2218</v>
      </c>
      <c r="BY829" t="s">
        <v>98</v>
      </c>
      <c r="BZ829" t="s">
        <v>2456</v>
      </c>
      <c r="CA829" t="s">
        <v>2695</v>
      </c>
      <c r="CB829" t="s">
        <v>150</v>
      </c>
      <c r="CC829">
        <v>201</v>
      </c>
      <c r="CD829">
        <v>0.64</v>
      </c>
      <c r="CE829">
        <v>76.400000000000006</v>
      </c>
      <c r="CF829">
        <v>6341</v>
      </c>
      <c r="CL829" t="s">
        <v>98</v>
      </c>
      <c r="CM829" t="s">
        <v>291</v>
      </c>
      <c r="CO829" s="1">
        <v>39531</v>
      </c>
      <c r="CP829" s="1">
        <v>43595</v>
      </c>
    </row>
    <row r="830" spans="1:94" x14ac:dyDescent="0.25">
      <c r="A830" s="4" t="s">
        <v>2698</v>
      </c>
      <c r="B830" t="str">
        <f xml:space="preserve"> "" &amp; 706411055126</f>
        <v>706411055126</v>
      </c>
      <c r="C830" t="s">
        <v>2178</v>
      </c>
      <c r="D830" t="s">
        <v>4502</v>
      </c>
      <c r="E830" t="str">
        <f xml:space="preserve"> "ULTRA-MAX" &amp;  CHAR(153) &amp; ""</f>
        <v>ULTRA-MAX™</v>
      </c>
      <c r="F830" t="s">
        <v>2113</v>
      </c>
      <c r="G830">
        <v>1</v>
      </c>
      <c r="H830">
        <v>1</v>
      </c>
      <c r="I830" t="s">
        <v>97</v>
      </c>
      <c r="J830" s="32">
        <v>168.95</v>
      </c>
      <c r="K830" s="32">
        <v>506.85</v>
      </c>
      <c r="L830">
        <v>0</v>
      </c>
      <c r="N830">
        <v>0</v>
      </c>
      <c r="Q830" t="s">
        <v>291</v>
      </c>
      <c r="R830" s="32">
        <v>299.95</v>
      </c>
      <c r="S830">
        <v>12</v>
      </c>
      <c r="T830">
        <v>54</v>
      </c>
      <c r="U830">
        <v>54</v>
      </c>
      <c r="W830">
        <v>23.59</v>
      </c>
      <c r="X830">
        <v>1</v>
      </c>
      <c r="Y830">
        <v>9.3800000000000008</v>
      </c>
      <c r="Z830">
        <v>20.5</v>
      </c>
      <c r="AA830">
        <v>14.88</v>
      </c>
      <c r="AB830">
        <v>1.6559999999999999</v>
      </c>
      <c r="AC830">
        <v>26.01</v>
      </c>
      <c r="AK830" t="s">
        <v>98</v>
      </c>
      <c r="AM830" t="s">
        <v>98</v>
      </c>
      <c r="AN830" t="s">
        <v>98</v>
      </c>
      <c r="AO830" t="s">
        <v>291</v>
      </c>
      <c r="AP830" t="s">
        <v>99</v>
      </c>
      <c r="AQ830" t="s">
        <v>102</v>
      </c>
      <c r="AV830" t="s">
        <v>98</v>
      </c>
      <c r="AX830" t="s">
        <v>245</v>
      </c>
      <c r="AZ830" t="s">
        <v>109</v>
      </c>
      <c r="BF830" t="s">
        <v>2699</v>
      </c>
      <c r="BG830" t="s">
        <v>98</v>
      </c>
      <c r="BH830" t="s">
        <v>98</v>
      </c>
      <c r="BI830" t="s">
        <v>98</v>
      </c>
      <c r="BK830" t="s">
        <v>138</v>
      </c>
      <c r="BU830">
        <v>6</v>
      </c>
      <c r="BW830">
        <v>0.75</v>
      </c>
      <c r="BX830" t="s">
        <v>2206</v>
      </c>
      <c r="CA830" t="s">
        <v>2695</v>
      </c>
      <c r="CB830" t="s">
        <v>245</v>
      </c>
      <c r="CC830">
        <v>201</v>
      </c>
      <c r="CD830">
        <v>0.64</v>
      </c>
      <c r="CE830">
        <v>76.400000000000006</v>
      </c>
      <c r="CF830">
        <v>6341</v>
      </c>
      <c r="CL830" t="s">
        <v>98</v>
      </c>
      <c r="CM830" t="s">
        <v>291</v>
      </c>
      <c r="CO830" s="1">
        <v>42587</v>
      </c>
      <c r="CP830" s="1">
        <v>43595</v>
      </c>
    </row>
    <row r="831" spans="1:94" x14ac:dyDescent="0.25">
      <c r="A831" s="4" t="s">
        <v>2700</v>
      </c>
      <c r="B831" t="str">
        <f xml:space="preserve"> "" &amp; 706411019524</f>
        <v>706411019524</v>
      </c>
      <c r="C831" t="s">
        <v>2178</v>
      </c>
      <c r="D831" t="s">
        <v>4502</v>
      </c>
      <c r="E831" t="str">
        <f xml:space="preserve"> "ULTRA-MAX" &amp;  CHAR(153) &amp; ""</f>
        <v>ULTRA-MAX™</v>
      </c>
      <c r="F831" t="s">
        <v>2113</v>
      </c>
      <c r="G831">
        <v>1</v>
      </c>
      <c r="H831">
        <v>1</v>
      </c>
      <c r="I831" t="s">
        <v>97</v>
      </c>
      <c r="J831" s="32">
        <v>168.95</v>
      </c>
      <c r="K831" s="32">
        <v>506.85</v>
      </c>
      <c r="L831">
        <v>0</v>
      </c>
      <c r="N831">
        <v>0</v>
      </c>
      <c r="Q831" t="s">
        <v>291</v>
      </c>
      <c r="R831" s="32">
        <v>299.95</v>
      </c>
      <c r="S831">
        <v>12</v>
      </c>
      <c r="T831">
        <v>54</v>
      </c>
      <c r="U831">
        <v>54</v>
      </c>
      <c r="W831">
        <v>23.59</v>
      </c>
      <c r="X831">
        <v>1</v>
      </c>
      <c r="Y831">
        <v>9.3800000000000008</v>
      </c>
      <c r="Z831">
        <v>20.5</v>
      </c>
      <c r="AA831">
        <v>14.88</v>
      </c>
      <c r="AB831">
        <v>1.6559999999999999</v>
      </c>
      <c r="AC831">
        <v>26.01</v>
      </c>
      <c r="AK831" t="s">
        <v>98</v>
      </c>
      <c r="AM831" t="s">
        <v>98</v>
      </c>
      <c r="AN831" t="s">
        <v>98</v>
      </c>
      <c r="AO831" t="s">
        <v>291</v>
      </c>
      <c r="AP831" t="s">
        <v>99</v>
      </c>
      <c r="AQ831" t="s">
        <v>102</v>
      </c>
      <c r="AV831" t="s">
        <v>98</v>
      </c>
      <c r="AX831" t="s">
        <v>302</v>
      </c>
      <c r="AZ831" t="s">
        <v>2235</v>
      </c>
      <c r="BC831" t="s">
        <v>485</v>
      </c>
      <c r="BF831" t="s">
        <v>2701</v>
      </c>
      <c r="BG831" t="s">
        <v>98</v>
      </c>
      <c r="BH831" t="s">
        <v>98</v>
      </c>
      <c r="BI831" t="s">
        <v>98</v>
      </c>
      <c r="BK831" t="s">
        <v>138</v>
      </c>
      <c r="BU831">
        <v>6</v>
      </c>
      <c r="BW831">
        <v>0.75</v>
      </c>
      <c r="BX831" t="s">
        <v>2218</v>
      </c>
      <c r="BY831" t="s">
        <v>98</v>
      </c>
      <c r="BZ831" t="s">
        <v>302</v>
      </c>
      <c r="CA831" t="s">
        <v>2695</v>
      </c>
      <c r="CB831" t="s">
        <v>302</v>
      </c>
      <c r="CC831">
        <v>201</v>
      </c>
      <c r="CD831">
        <v>0.64</v>
      </c>
      <c r="CE831">
        <v>76.400000000000006</v>
      </c>
      <c r="CF831">
        <v>6341</v>
      </c>
      <c r="CL831" t="s">
        <v>98</v>
      </c>
      <c r="CM831" t="s">
        <v>291</v>
      </c>
      <c r="CO831" s="1">
        <v>39568</v>
      </c>
      <c r="CP831" s="1">
        <v>43595</v>
      </c>
    </row>
    <row r="832" spans="1:94" x14ac:dyDescent="0.25">
      <c r="A832" s="4" t="s">
        <v>2702</v>
      </c>
      <c r="B832" t="str">
        <f xml:space="preserve"> "" &amp; 706411034473</f>
        <v>706411034473</v>
      </c>
      <c r="C832" t="s">
        <v>2678</v>
      </c>
      <c r="D832" t="s">
        <v>2703</v>
      </c>
      <c r="E832" t="s">
        <v>2704</v>
      </c>
      <c r="F832" t="s">
        <v>2113</v>
      </c>
      <c r="G832">
        <v>1</v>
      </c>
      <c r="H832">
        <v>1</v>
      </c>
      <c r="I832" t="s">
        <v>97</v>
      </c>
      <c r="J832" s="32">
        <v>139.94999999999999</v>
      </c>
      <c r="K832" s="32">
        <v>419.85</v>
      </c>
      <c r="L832">
        <v>0</v>
      </c>
      <c r="N832">
        <v>0</v>
      </c>
      <c r="Q832" t="s">
        <v>291</v>
      </c>
      <c r="R832" s="32">
        <v>259.95</v>
      </c>
      <c r="S832">
        <v>15</v>
      </c>
      <c r="T832">
        <v>54</v>
      </c>
      <c r="U832">
        <v>54</v>
      </c>
      <c r="W832">
        <v>29.32</v>
      </c>
      <c r="X832">
        <v>1</v>
      </c>
      <c r="Y832">
        <v>10.63</v>
      </c>
      <c r="Z832">
        <v>20.88</v>
      </c>
      <c r="AA832">
        <v>13.88</v>
      </c>
      <c r="AB832">
        <v>1.7829999999999999</v>
      </c>
      <c r="AC832">
        <v>31.31</v>
      </c>
      <c r="AK832" t="s">
        <v>98</v>
      </c>
      <c r="AM832" t="s">
        <v>98</v>
      </c>
      <c r="AN832" t="s">
        <v>98</v>
      </c>
      <c r="AO832" t="s">
        <v>291</v>
      </c>
      <c r="AP832" t="s">
        <v>99</v>
      </c>
      <c r="AQ832" t="s">
        <v>102</v>
      </c>
      <c r="AV832" t="s">
        <v>98</v>
      </c>
      <c r="AX832" t="s">
        <v>2705</v>
      </c>
      <c r="AZ832" t="s">
        <v>2235</v>
      </c>
      <c r="BC832" t="s">
        <v>485</v>
      </c>
      <c r="BF832" t="s">
        <v>2706</v>
      </c>
      <c r="BG832" t="s">
        <v>98</v>
      </c>
      <c r="BH832" t="s">
        <v>98</v>
      </c>
      <c r="BI832" t="s">
        <v>98</v>
      </c>
      <c r="BJ832" t="s">
        <v>291</v>
      </c>
      <c r="BK832" t="s">
        <v>292</v>
      </c>
      <c r="BU832">
        <v>6</v>
      </c>
      <c r="BW832">
        <v>0.75</v>
      </c>
      <c r="BX832" t="s">
        <v>2707</v>
      </c>
      <c r="BY832" t="s">
        <v>98</v>
      </c>
      <c r="BZ832" t="s">
        <v>2708</v>
      </c>
      <c r="CA832" t="s">
        <v>2709</v>
      </c>
      <c r="CB832" t="s">
        <v>2705</v>
      </c>
      <c r="CC832">
        <v>161</v>
      </c>
      <c r="CD832">
        <v>0.67</v>
      </c>
      <c r="CE832">
        <v>78.98</v>
      </c>
      <c r="CF832">
        <v>6401</v>
      </c>
      <c r="CL832" t="s">
        <v>98</v>
      </c>
      <c r="CM832" t="s">
        <v>291</v>
      </c>
      <c r="CN832" t="s">
        <v>2710</v>
      </c>
      <c r="CO832" s="1">
        <v>39543</v>
      </c>
      <c r="CP832" s="1">
        <v>43595</v>
      </c>
    </row>
    <row r="833" spans="1:94" x14ac:dyDescent="0.25">
      <c r="A833" s="4" t="s">
        <v>2711</v>
      </c>
      <c r="B833" t="str">
        <f xml:space="preserve"> "" &amp; 706411050763</f>
        <v>706411050763</v>
      </c>
      <c r="C833" t="s">
        <v>2678</v>
      </c>
      <c r="D833" t="s">
        <v>2703</v>
      </c>
      <c r="E833" t="s">
        <v>2704</v>
      </c>
      <c r="F833" t="s">
        <v>2113</v>
      </c>
      <c r="G833">
        <v>1</v>
      </c>
      <c r="H833">
        <v>1</v>
      </c>
      <c r="I833" t="s">
        <v>97</v>
      </c>
      <c r="J833" s="32">
        <v>139.94999999999999</v>
      </c>
      <c r="K833" s="32">
        <v>419.85</v>
      </c>
      <c r="L833">
        <v>0</v>
      </c>
      <c r="N833">
        <v>0</v>
      </c>
      <c r="Q833" t="s">
        <v>291</v>
      </c>
      <c r="R833" s="32">
        <v>249.95</v>
      </c>
      <c r="S833">
        <v>15</v>
      </c>
      <c r="T833">
        <v>54</v>
      </c>
      <c r="U833">
        <v>54</v>
      </c>
      <c r="W833">
        <v>29.32</v>
      </c>
      <c r="X833">
        <v>1</v>
      </c>
      <c r="Y833">
        <v>10.63</v>
      </c>
      <c r="Z833">
        <v>20.88</v>
      </c>
      <c r="AA833">
        <v>13.88</v>
      </c>
      <c r="AB833">
        <v>1.7829999999999999</v>
      </c>
      <c r="AC833">
        <v>31.31</v>
      </c>
      <c r="AK833" t="s">
        <v>98</v>
      </c>
      <c r="AM833" t="s">
        <v>98</v>
      </c>
      <c r="AN833" t="s">
        <v>98</v>
      </c>
      <c r="AO833" t="s">
        <v>291</v>
      </c>
      <c r="AP833" t="s">
        <v>99</v>
      </c>
      <c r="AQ833" t="s">
        <v>102</v>
      </c>
      <c r="AV833" t="s">
        <v>98</v>
      </c>
      <c r="AX833" t="s">
        <v>197</v>
      </c>
      <c r="AZ833" t="s">
        <v>2235</v>
      </c>
      <c r="BF833" t="s">
        <v>2712</v>
      </c>
      <c r="BG833" t="s">
        <v>291</v>
      </c>
      <c r="BH833" t="s">
        <v>98</v>
      </c>
      <c r="BI833" t="s">
        <v>98</v>
      </c>
      <c r="BJ833" t="s">
        <v>291</v>
      </c>
      <c r="BK833" t="s">
        <v>292</v>
      </c>
      <c r="BU833">
        <v>6</v>
      </c>
      <c r="BW833">
        <v>0.75</v>
      </c>
      <c r="BX833" t="s">
        <v>2707</v>
      </c>
      <c r="BZ833" t="s">
        <v>2413</v>
      </c>
      <c r="CA833" t="s">
        <v>2709</v>
      </c>
      <c r="CB833" t="s">
        <v>197</v>
      </c>
      <c r="CC833">
        <v>161</v>
      </c>
      <c r="CD833">
        <v>0.67</v>
      </c>
      <c r="CE833">
        <v>78.98</v>
      </c>
      <c r="CF833">
        <v>6401</v>
      </c>
      <c r="CL833" t="s">
        <v>98</v>
      </c>
      <c r="CM833" t="s">
        <v>291</v>
      </c>
      <c r="CN833" t="s">
        <v>2713</v>
      </c>
      <c r="CO833" s="1">
        <v>41832</v>
      </c>
      <c r="CP833" s="1">
        <v>43595</v>
      </c>
    </row>
    <row r="834" spans="1:94" x14ac:dyDescent="0.25">
      <c r="A834" s="4" t="s">
        <v>2714</v>
      </c>
      <c r="B834" t="str">
        <f xml:space="preserve"> "" &amp; 706411200397</f>
        <v>706411200397</v>
      </c>
      <c r="C834" t="s">
        <v>2178</v>
      </c>
      <c r="D834" t="s">
        <v>2703</v>
      </c>
      <c r="E834" t="s">
        <v>2704</v>
      </c>
      <c r="F834" t="s">
        <v>2113</v>
      </c>
      <c r="G834">
        <v>1</v>
      </c>
      <c r="H834">
        <v>1</v>
      </c>
      <c r="I834" t="s">
        <v>97</v>
      </c>
      <c r="J834" s="32">
        <v>139.94999999999999</v>
      </c>
      <c r="K834" s="32">
        <v>419.85</v>
      </c>
      <c r="L834">
        <v>0</v>
      </c>
      <c r="N834">
        <v>0</v>
      </c>
      <c r="Q834" t="s">
        <v>291</v>
      </c>
      <c r="R834" s="32">
        <v>259.95</v>
      </c>
      <c r="S834">
        <v>15</v>
      </c>
      <c r="T834">
        <v>54</v>
      </c>
      <c r="U834">
        <v>54</v>
      </c>
      <c r="W834">
        <v>29.32</v>
      </c>
      <c r="X834">
        <v>1</v>
      </c>
      <c r="Y834">
        <v>10.63</v>
      </c>
      <c r="Z834">
        <v>20.88</v>
      </c>
      <c r="AA834">
        <v>13.88</v>
      </c>
      <c r="AB834">
        <v>1.7829999999999999</v>
      </c>
      <c r="AC834">
        <v>31.31</v>
      </c>
      <c r="AK834" t="s">
        <v>98</v>
      </c>
      <c r="AM834" t="s">
        <v>98</v>
      </c>
      <c r="AN834" t="s">
        <v>98</v>
      </c>
      <c r="AO834" t="s">
        <v>291</v>
      </c>
      <c r="AP834" t="s">
        <v>99</v>
      </c>
      <c r="AQ834" t="s">
        <v>102</v>
      </c>
      <c r="AV834" t="s">
        <v>98</v>
      </c>
      <c r="AX834" t="s">
        <v>212</v>
      </c>
      <c r="AZ834" t="s">
        <v>2235</v>
      </c>
      <c r="BC834" t="s">
        <v>485</v>
      </c>
      <c r="BF834" t="s">
        <v>2715</v>
      </c>
      <c r="BG834" t="s">
        <v>98</v>
      </c>
      <c r="BH834" t="s">
        <v>98</v>
      </c>
      <c r="BI834" t="s">
        <v>98</v>
      </c>
      <c r="BJ834" t="s">
        <v>291</v>
      </c>
      <c r="BK834" t="s">
        <v>292</v>
      </c>
      <c r="BU834">
        <v>6</v>
      </c>
      <c r="BW834">
        <v>0.75</v>
      </c>
      <c r="BX834" t="s">
        <v>2716</v>
      </c>
      <c r="BY834" t="s">
        <v>98</v>
      </c>
      <c r="BZ834" t="s">
        <v>146</v>
      </c>
      <c r="CA834" t="s">
        <v>2709</v>
      </c>
      <c r="CB834" t="s">
        <v>212</v>
      </c>
      <c r="CC834">
        <v>161</v>
      </c>
      <c r="CD834">
        <v>67</v>
      </c>
      <c r="CE834">
        <v>78.98</v>
      </c>
      <c r="CF834">
        <v>6401</v>
      </c>
      <c r="CL834" t="s">
        <v>98</v>
      </c>
      <c r="CM834" t="s">
        <v>291</v>
      </c>
      <c r="CN834" t="s">
        <v>2189</v>
      </c>
      <c r="CO834" s="1">
        <v>37404</v>
      </c>
      <c r="CP834" s="1">
        <v>43595</v>
      </c>
    </row>
    <row r="835" spans="1:94" x14ac:dyDescent="0.25">
      <c r="A835" s="4" t="s">
        <v>2717</v>
      </c>
      <c r="B835" t="str">
        <f xml:space="preserve"> "" &amp; 706411034480</f>
        <v>706411034480</v>
      </c>
      <c r="C835" t="s">
        <v>2678</v>
      </c>
      <c r="D835" t="s">
        <v>2703</v>
      </c>
      <c r="E835" t="s">
        <v>2704</v>
      </c>
      <c r="F835" t="s">
        <v>2113</v>
      </c>
      <c r="G835">
        <v>1</v>
      </c>
      <c r="H835">
        <v>1</v>
      </c>
      <c r="I835" t="s">
        <v>97</v>
      </c>
      <c r="J835" s="32">
        <v>139.94999999999999</v>
      </c>
      <c r="K835" s="32">
        <v>419.85</v>
      </c>
      <c r="L835">
        <v>0</v>
      </c>
      <c r="N835">
        <v>0</v>
      </c>
      <c r="Q835" t="s">
        <v>291</v>
      </c>
      <c r="R835" s="32">
        <v>259.95</v>
      </c>
      <c r="S835">
        <v>15</v>
      </c>
      <c r="T835">
        <v>54</v>
      </c>
      <c r="U835">
        <v>54</v>
      </c>
      <c r="W835">
        <v>29.32</v>
      </c>
      <c r="X835">
        <v>1</v>
      </c>
      <c r="Y835">
        <v>10.63</v>
      </c>
      <c r="Z835">
        <v>20.88</v>
      </c>
      <c r="AA835">
        <v>13.88</v>
      </c>
      <c r="AB835">
        <v>1.7829999999999999</v>
      </c>
      <c r="AC835">
        <v>31.31</v>
      </c>
      <c r="AK835" t="s">
        <v>98</v>
      </c>
      <c r="AM835" t="s">
        <v>98</v>
      </c>
      <c r="AN835" t="s">
        <v>98</v>
      </c>
      <c r="AO835" t="s">
        <v>291</v>
      </c>
      <c r="AP835" t="s">
        <v>99</v>
      </c>
      <c r="AQ835" t="s">
        <v>102</v>
      </c>
      <c r="AV835" t="s">
        <v>98</v>
      </c>
      <c r="AX835" t="s">
        <v>238</v>
      </c>
      <c r="AZ835" t="s">
        <v>2235</v>
      </c>
      <c r="BF835" t="s">
        <v>2718</v>
      </c>
      <c r="BG835" t="s">
        <v>98</v>
      </c>
      <c r="BH835" t="s">
        <v>98</v>
      </c>
      <c r="BI835" t="s">
        <v>98</v>
      </c>
      <c r="BJ835" t="s">
        <v>291</v>
      </c>
      <c r="BK835" t="s">
        <v>292</v>
      </c>
      <c r="BU835">
        <v>6</v>
      </c>
      <c r="BW835">
        <v>0.75</v>
      </c>
      <c r="BX835" t="s">
        <v>2707</v>
      </c>
      <c r="BY835" t="s">
        <v>98</v>
      </c>
      <c r="BZ835" t="s">
        <v>238</v>
      </c>
      <c r="CA835" t="s">
        <v>2709</v>
      </c>
      <c r="CB835" t="s">
        <v>238</v>
      </c>
      <c r="CC835">
        <v>161</v>
      </c>
      <c r="CD835">
        <v>0.67</v>
      </c>
      <c r="CE835">
        <v>78.98</v>
      </c>
      <c r="CF835">
        <v>6401</v>
      </c>
      <c r="CL835" t="s">
        <v>98</v>
      </c>
      <c r="CM835" t="s">
        <v>291</v>
      </c>
      <c r="CN835" t="s">
        <v>2228</v>
      </c>
      <c r="CO835" s="1">
        <v>39543</v>
      </c>
      <c r="CP835" s="1">
        <v>43595</v>
      </c>
    </row>
    <row r="836" spans="1:94" x14ac:dyDescent="0.25">
      <c r="A836" s="4" t="s">
        <v>2719</v>
      </c>
      <c r="B836" t="str">
        <f xml:space="preserve"> "" &amp; 706411034497</f>
        <v>706411034497</v>
      </c>
      <c r="C836" t="s">
        <v>2678</v>
      </c>
      <c r="D836" t="s">
        <v>2703</v>
      </c>
      <c r="E836" t="s">
        <v>2704</v>
      </c>
      <c r="F836" t="s">
        <v>2113</v>
      </c>
      <c r="G836">
        <v>1</v>
      </c>
      <c r="H836">
        <v>1</v>
      </c>
      <c r="I836" t="s">
        <v>97</v>
      </c>
      <c r="J836" s="32">
        <v>139.94999999999999</v>
      </c>
      <c r="K836" s="32">
        <v>419.85</v>
      </c>
      <c r="L836">
        <v>0</v>
      </c>
      <c r="N836">
        <v>0</v>
      </c>
      <c r="Q836" t="s">
        <v>291</v>
      </c>
      <c r="R836" s="32">
        <v>259.95</v>
      </c>
      <c r="S836">
        <v>15</v>
      </c>
      <c r="T836">
        <v>54</v>
      </c>
      <c r="U836">
        <v>54</v>
      </c>
      <c r="W836">
        <v>29.32</v>
      </c>
      <c r="X836">
        <v>1</v>
      </c>
      <c r="Y836">
        <v>10.63</v>
      </c>
      <c r="Z836">
        <v>20.88</v>
      </c>
      <c r="AA836">
        <v>13.88</v>
      </c>
      <c r="AB836">
        <v>1.7829999999999999</v>
      </c>
      <c r="AC836">
        <v>31.31</v>
      </c>
      <c r="AK836" t="s">
        <v>98</v>
      </c>
      <c r="AM836" t="s">
        <v>98</v>
      </c>
      <c r="AN836" t="s">
        <v>98</v>
      </c>
      <c r="AO836" t="s">
        <v>291</v>
      </c>
      <c r="AP836" t="s">
        <v>99</v>
      </c>
      <c r="AQ836" t="s">
        <v>102</v>
      </c>
      <c r="AV836" t="s">
        <v>98</v>
      </c>
      <c r="AX836" t="s">
        <v>245</v>
      </c>
      <c r="AZ836" t="s">
        <v>2235</v>
      </c>
      <c r="BC836" t="s">
        <v>485</v>
      </c>
      <c r="BF836" t="s">
        <v>2720</v>
      </c>
      <c r="BG836" t="s">
        <v>98</v>
      </c>
      <c r="BH836" t="s">
        <v>98</v>
      </c>
      <c r="BI836" t="s">
        <v>98</v>
      </c>
      <c r="BJ836" t="s">
        <v>291</v>
      </c>
      <c r="BK836" t="s">
        <v>292</v>
      </c>
      <c r="BU836">
        <v>6</v>
      </c>
      <c r="BW836">
        <v>0.75</v>
      </c>
      <c r="BX836" t="s">
        <v>2707</v>
      </c>
      <c r="BY836" t="s">
        <v>98</v>
      </c>
      <c r="BZ836" t="s">
        <v>2721</v>
      </c>
      <c r="CA836" t="s">
        <v>2709</v>
      </c>
      <c r="CB836" t="s">
        <v>245</v>
      </c>
      <c r="CC836">
        <v>161</v>
      </c>
      <c r="CD836">
        <v>0.67</v>
      </c>
      <c r="CE836">
        <v>78.98</v>
      </c>
      <c r="CF836">
        <v>6401</v>
      </c>
      <c r="CL836" t="s">
        <v>98</v>
      </c>
      <c r="CM836" t="s">
        <v>291</v>
      </c>
      <c r="CN836" t="s">
        <v>2189</v>
      </c>
      <c r="CO836" s="1">
        <v>39543</v>
      </c>
      <c r="CP836" s="1">
        <v>43595</v>
      </c>
    </row>
    <row r="837" spans="1:94" x14ac:dyDescent="0.25">
      <c r="A837" s="4" t="s">
        <v>2722</v>
      </c>
      <c r="B837" t="str">
        <f xml:space="preserve"> "" &amp; 706411060830</f>
        <v>706411060830</v>
      </c>
      <c r="C837" t="s">
        <v>2678</v>
      </c>
      <c r="D837" t="s">
        <v>2703</v>
      </c>
      <c r="E837" t="s">
        <v>2704</v>
      </c>
      <c r="F837" t="s">
        <v>2113</v>
      </c>
      <c r="G837">
        <v>1</v>
      </c>
      <c r="H837">
        <v>1</v>
      </c>
      <c r="I837" t="s">
        <v>97</v>
      </c>
      <c r="J837" s="32">
        <v>139.94999999999999</v>
      </c>
      <c r="K837" s="32">
        <v>419.85</v>
      </c>
      <c r="L837">
        <v>0</v>
      </c>
      <c r="N837">
        <v>0</v>
      </c>
      <c r="Q837" t="s">
        <v>291</v>
      </c>
      <c r="R837" s="32">
        <v>259.95</v>
      </c>
      <c r="S837">
        <v>15</v>
      </c>
      <c r="T837">
        <v>54</v>
      </c>
      <c r="U837">
        <v>54</v>
      </c>
      <c r="W837">
        <v>29.32</v>
      </c>
      <c r="X837">
        <v>1</v>
      </c>
      <c r="Y837">
        <v>10.63</v>
      </c>
      <c r="Z837">
        <v>20.88</v>
      </c>
      <c r="AA837">
        <v>13.88</v>
      </c>
      <c r="AB837">
        <v>1.7829999999999999</v>
      </c>
      <c r="AC837">
        <v>31.31</v>
      </c>
      <c r="AK837" t="s">
        <v>98</v>
      </c>
      <c r="AM837" t="s">
        <v>98</v>
      </c>
      <c r="AN837" t="s">
        <v>98</v>
      </c>
      <c r="AO837" t="s">
        <v>291</v>
      </c>
      <c r="AP837" t="s">
        <v>99</v>
      </c>
      <c r="AQ837" t="s">
        <v>102</v>
      </c>
      <c r="AV837" t="s">
        <v>98</v>
      </c>
      <c r="AX837" t="s">
        <v>281</v>
      </c>
      <c r="AZ837" t="s">
        <v>109</v>
      </c>
      <c r="BF837" t="s">
        <v>2723</v>
      </c>
      <c r="BG837" t="s">
        <v>98</v>
      </c>
      <c r="BH837" t="s">
        <v>98</v>
      </c>
      <c r="BI837" t="s">
        <v>98</v>
      </c>
      <c r="BJ837" t="s">
        <v>291</v>
      </c>
      <c r="BK837" t="s">
        <v>292</v>
      </c>
      <c r="BU837">
        <v>6</v>
      </c>
      <c r="BW837">
        <v>0.75</v>
      </c>
      <c r="BX837" t="s">
        <v>2707</v>
      </c>
      <c r="BZ837" t="s">
        <v>281</v>
      </c>
      <c r="CA837" t="s">
        <v>2709</v>
      </c>
      <c r="CB837" t="s">
        <v>281</v>
      </c>
      <c r="CC837">
        <v>161</v>
      </c>
      <c r="CD837">
        <v>0.67</v>
      </c>
      <c r="CE837">
        <v>78.98</v>
      </c>
      <c r="CF837">
        <v>6401</v>
      </c>
      <c r="CL837" t="s">
        <v>98</v>
      </c>
      <c r="CM837" t="s">
        <v>291</v>
      </c>
      <c r="CN837" t="s">
        <v>2228</v>
      </c>
      <c r="CO837" s="1">
        <v>43256</v>
      </c>
      <c r="CP837" s="1">
        <v>43595</v>
      </c>
    </row>
    <row r="838" spans="1:94" x14ac:dyDescent="0.25">
      <c r="A838" s="4" t="s">
        <v>2724</v>
      </c>
      <c r="B838" t="str">
        <f xml:space="preserve"> "" &amp; 706411018589</f>
        <v>706411018589</v>
      </c>
      <c r="C838" t="s">
        <v>2178</v>
      </c>
      <c r="D838" t="s">
        <v>2703</v>
      </c>
      <c r="E838" t="s">
        <v>2704</v>
      </c>
      <c r="F838" t="s">
        <v>2113</v>
      </c>
      <c r="G838">
        <v>1</v>
      </c>
      <c r="H838">
        <v>1</v>
      </c>
      <c r="I838" t="s">
        <v>97</v>
      </c>
      <c r="J838" s="32">
        <v>139.94999999999999</v>
      </c>
      <c r="K838" s="32">
        <v>419.85</v>
      </c>
      <c r="L838">
        <v>0</v>
      </c>
      <c r="N838">
        <v>0</v>
      </c>
      <c r="Q838" t="s">
        <v>291</v>
      </c>
      <c r="R838" s="32">
        <v>259.95</v>
      </c>
      <c r="S838">
        <v>15</v>
      </c>
      <c r="T838">
        <v>54</v>
      </c>
      <c r="U838">
        <v>54</v>
      </c>
      <c r="W838">
        <v>29.32</v>
      </c>
      <c r="X838">
        <v>1</v>
      </c>
      <c r="Y838">
        <v>10.63</v>
      </c>
      <c r="Z838">
        <v>20.88</v>
      </c>
      <c r="AA838">
        <v>13.88</v>
      </c>
      <c r="AB838">
        <v>1.7829999999999999</v>
      </c>
      <c r="AC838">
        <v>31.31</v>
      </c>
      <c r="AK838" t="s">
        <v>98</v>
      </c>
      <c r="AM838" t="s">
        <v>98</v>
      </c>
      <c r="AN838" t="s">
        <v>98</v>
      </c>
      <c r="AO838" t="s">
        <v>291</v>
      </c>
      <c r="AP838" t="s">
        <v>99</v>
      </c>
      <c r="AQ838" t="s">
        <v>102</v>
      </c>
      <c r="AV838" t="s">
        <v>98</v>
      </c>
      <c r="AX838" t="s">
        <v>298</v>
      </c>
      <c r="AZ838" t="s">
        <v>2235</v>
      </c>
      <c r="BC838" t="s">
        <v>485</v>
      </c>
      <c r="BF838" t="s">
        <v>2725</v>
      </c>
      <c r="BG838" t="s">
        <v>98</v>
      </c>
      <c r="BH838" t="s">
        <v>98</v>
      </c>
      <c r="BI838" t="s">
        <v>98</v>
      </c>
      <c r="BJ838" t="s">
        <v>291</v>
      </c>
      <c r="BK838" t="s">
        <v>292</v>
      </c>
      <c r="BU838">
        <v>6</v>
      </c>
      <c r="BW838">
        <v>0.75</v>
      </c>
      <c r="BX838" t="s">
        <v>2707</v>
      </c>
      <c r="BY838" t="s">
        <v>98</v>
      </c>
      <c r="BZ838" t="s">
        <v>2721</v>
      </c>
      <c r="CA838" t="s">
        <v>2709</v>
      </c>
      <c r="CB838" t="s">
        <v>298</v>
      </c>
      <c r="CC838">
        <v>161</v>
      </c>
      <c r="CD838">
        <v>0.67</v>
      </c>
      <c r="CE838">
        <v>78.98</v>
      </c>
      <c r="CF838">
        <v>6401</v>
      </c>
      <c r="CL838" t="s">
        <v>98</v>
      </c>
      <c r="CM838" t="s">
        <v>98</v>
      </c>
      <c r="CN838" t="s">
        <v>2189</v>
      </c>
      <c r="CO838" s="1">
        <v>37404</v>
      </c>
      <c r="CP838" s="1">
        <v>43595</v>
      </c>
    </row>
    <row r="839" spans="1:94" x14ac:dyDescent="0.25">
      <c r="A839" s="4" t="s">
        <v>2726</v>
      </c>
      <c r="B839" t="str">
        <f xml:space="preserve"> "" &amp; 706411200403</f>
        <v>706411200403</v>
      </c>
      <c r="C839" t="s">
        <v>2678</v>
      </c>
      <c r="D839" t="s">
        <v>2703</v>
      </c>
      <c r="E839" t="s">
        <v>2704</v>
      </c>
      <c r="F839" t="s">
        <v>2113</v>
      </c>
      <c r="G839">
        <v>1</v>
      </c>
      <c r="H839">
        <v>1</v>
      </c>
      <c r="I839" t="s">
        <v>97</v>
      </c>
      <c r="J839" s="32">
        <v>129.94999999999999</v>
      </c>
      <c r="K839" s="32">
        <v>389.85</v>
      </c>
      <c r="L839">
        <v>0</v>
      </c>
      <c r="N839">
        <v>0</v>
      </c>
      <c r="Q839" t="s">
        <v>291</v>
      </c>
      <c r="R839" s="32">
        <v>249.95</v>
      </c>
      <c r="S839">
        <v>15</v>
      </c>
      <c r="T839">
        <v>54</v>
      </c>
      <c r="U839">
        <v>54</v>
      </c>
      <c r="W839">
        <v>29.32</v>
      </c>
      <c r="X839">
        <v>1</v>
      </c>
      <c r="Y839">
        <v>10.63</v>
      </c>
      <c r="Z839">
        <v>20.88</v>
      </c>
      <c r="AA839">
        <v>13.88</v>
      </c>
      <c r="AB839">
        <v>1.7829999999999999</v>
      </c>
      <c r="AC839">
        <v>31.31</v>
      </c>
      <c r="AK839" t="s">
        <v>98</v>
      </c>
      <c r="AM839" t="s">
        <v>98</v>
      </c>
      <c r="AN839" t="s">
        <v>98</v>
      </c>
      <c r="AO839" t="s">
        <v>291</v>
      </c>
      <c r="AP839" t="s">
        <v>99</v>
      </c>
      <c r="AQ839" t="s">
        <v>102</v>
      </c>
      <c r="AV839" t="s">
        <v>98</v>
      </c>
      <c r="AX839" t="s">
        <v>302</v>
      </c>
      <c r="AZ839" t="s">
        <v>2235</v>
      </c>
      <c r="BF839" t="s">
        <v>2727</v>
      </c>
      <c r="BG839" t="s">
        <v>98</v>
      </c>
      <c r="BH839" t="s">
        <v>98</v>
      </c>
      <c r="BI839" t="s">
        <v>98</v>
      </c>
      <c r="BJ839" t="s">
        <v>291</v>
      </c>
      <c r="BK839" t="s">
        <v>292</v>
      </c>
      <c r="BU839">
        <v>6</v>
      </c>
      <c r="BW839">
        <v>0.75</v>
      </c>
      <c r="BX839" t="s">
        <v>2707</v>
      </c>
      <c r="BY839" t="s">
        <v>98</v>
      </c>
      <c r="BZ839" t="s">
        <v>302</v>
      </c>
      <c r="CA839" t="s">
        <v>2709</v>
      </c>
      <c r="CB839" t="s">
        <v>302</v>
      </c>
      <c r="CC839">
        <v>161</v>
      </c>
      <c r="CD839">
        <v>0.67</v>
      </c>
      <c r="CE839">
        <v>78.98</v>
      </c>
      <c r="CF839">
        <v>6401</v>
      </c>
      <c r="CL839" t="s">
        <v>98</v>
      </c>
      <c r="CM839" t="s">
        <v>291</v>
      </c>
      <c r="CN839" t="s">
        <v>2728</v>
      </c>
      <c r="CO839" s="1">
        <v>37404</v>
      </c>
      <c r="CP839" s="1">
        <v>43595</v>
      </c>
    </row>
    <row r="840" spans="1:94" x14ac:dyDescent="0.25">
      <c r="A840" s="4" t="s">
        <v>2729</v>
      </c>
      <c r="B840" t="str">
        <f xml:space="preserve"> "" &amp; 706411055317</f>
        <v>706411055317</v>
      </c>
      <c r="C840" t="s">
        <v>2302</v>
      </c>
      <c r="D840" t="s">
        <v>4500</v>
      </c>
      <c r="E840" t="str">
        <f xml:space="preserve"> "TRADTIONAL CONCEPT" &amp;  CHAR(153) &amp; " 44"" LED"</f>
        <v>TRADTIONAL CONCEPT™ 44" LED</v>
      </c>
      <c r="F840" t="s">
        <v>2113</v>
      </c>
      <c r="G840">
        <v>1</v>
      </c>
      <c r="H840">
        <v>1</v>
      </c>
      <c r="I840" t="s">
        <v>97</v>
      </c>
      <c r="J840" s="32">
        <v>166.95</v>
      </c>
      <c r="K840" s="32">
        <v>500.85</v>
      </c>
      <c r="L840">
        <v>0</v>
      </c>
      <c r="N840">
        <v>0</v>
      </c>
      <c r="Q840" t="s">
        <v>291</v>
      </c>
      <c r="R840" s="32">
        <v>333.95</v>
      </c>
      <c r="S840">
        <v>11</v>
      </c>
      <c r="T840">
        <v>44</v>
      </c>
      <c r="U840">
        <v>44</v>
      </c>
      <c r="W840">
        <v>19.399999999999999</v>
      </c>
      <c r="X840">
        <v>1</v>
      </c>
      <c r="Y840">
        <v>12.88</v>
      </c>
      <c r="Z840">
        <v>23.75</v>
      </c>
      <c r="AA840">
        <v>13</v>
      </c>
      <c r="AB840">
        <v>2.3010000000000002</v>
      </c>
      <c r="AC840">
        <v>22.05</v>
      </c>
      <c r="AE840">
        <v>1</v>
      </c>
      <c r="AF840" t="s">
        <v>2141</v>
      </c>
      <c r="AG840">
        <v>14</v>
      </c>
      <c r="AK840" t="s">
        <v>291</v>
      </c>
      <c r="AM840" t="s">
        <v>98</v>
      </c>
      <c r="AN840" t="s">
        <v>98</v>
      </c>
      <c r="AO840" t="s">
        <v>291</v>
      </c>
      <c r="AP840" t="s">
        <v>99</v>
      </c>
      <c r="AQ840" t="s">
        <v>102</v>
      </c>
      <c r="AV840" t="s">
        <v>98</v>
      </c>
      <c r="AX840" t="s">
        <v>245</v>
      </c>
      <c r="AZ840" t="s">
        <v>109</v>
      </c>
      <c r="BB840" t="s">
        <v>106</v>
      </c>
      <c r="BC840" t="s">
        <v>2730</v>
      </c>
      <c r="BF840" t="s">
        <v>2731</v>
      </c>
      <c r="BG840" t="s">
        <v>98</v>
      </c>
      <c r="BH840" t="s">
        <v>98</v>
      </c>
      <c r="BI840" t="s">
        <v>98</v>
      </c>
      <c r="BJ840" t="s">
        <v>291</v>
      </c>
      <c r="BK840" t="s">
        <v>292</v>
      </c>
      <c r="BX840" t="s">
        <v>2218</v>
      </c>
      <c r="BY840" t="s">
        <v>291</v>
      </c>
      <c r="BZ840" t="s">
        <v>2159</v>
      </c>
      <c r="CA840" t="s">
        <v>2732</v>
      </c>
      <c r="CB840" t="s">
        <v>245</v>
      </c>
      <c r="CC840">
        <v>200</v>
      </c>
      <c r="CD840">
        <v>0.43099999999999999</v>
      </c>
      <c r="CE840">
        <v>51.54</v>
      </c>
      <c r="CF840">
        <v>3959</v>
      </c>
      <c r="CG840">
        <v>3000</v>
      </c>
      <c r="CH840">
        <v>84</v>
      </c>
      <c r="CI840">
        <v>1363</v>
      </c>
      <c r="CJ840">
        <v>478</v>
      </c>
      <c r="CK840">
        <v>30000</v>
      </c>
      <c r="CL840" t="s">
        <v>291</v>
      </c>
      <c r="CM840" t="s">
        <v>98</v>
      </c>
      <c r="CO840" s="1">
        <v>42802</v>
      </c>
      <c r="CP840" s="1">
        <v>43595</v>
      </c>
    </row>
    <row r="841" spans="1:94" x14ac:dyDescent="0.25">
      <c r="A841" s="4" t="s">
        <v>2733</v>
      </c>
      <c r="B841" t="str">
        <f xml:space="preserve"> "" &amp; 706411055621</f>
        <v>706411055621</v>
      </c>
      <c r="C841" t="s">
        <v>2302</v>
      </c>
      <c r="D841" t="s">
        <v>4500</v>
      </c>
      <c r="E841" t="str">
        <f xml:space="preserve"> "TRADITIONAL CONCEPT" &amp;  CHAR(153) &amp; " 44"" LED"</f>
        <v>TRADITIONAL CONCEPT™ 44" LED</v>
      </c>
      <c r="F841" t="s">
        <v>2113</v>
      </c>
      <c r="G841">
        <v>1</v>
      </c>
      <c r="H841">
        <v>1</v>
      </c>
      <c r="I841" t="s">
        <v>97</v>
      </c>
      <c r="J841" s="32">
        <v>166.95</v>
      </c>
      <c r="K841" s="32">
        <v>500.85</v>
      </c>
      <c r="L841">
        <v>0</v>
      </c>
      <c r="N841">
        <v>0</v>
      </c>
      <c r="Q841" t="s">
        <v>291</v>
      </c>
      <c r="R841" s="32">
        <v>333.95</v>
      </c>
      <c r="S841">
        <v>11</v>
      </c>
      <c r="T841">
        <v>44</v>
      </c>
      <c r="U841">
        <v>44</v>
      </c>
      <c r="W841">
        <v>19.399999999999999</v>
      </c>
      <c r="X841">
        <v>1</v>
      </c>
      <c r="Y841">
        <v>12.88</v>
      </c>
      <c r="Z841">
        <v>23.75</v>
      </c>
      <c r="AA841">
        <v>13</v>
      </c>
      <c r="AB841">
        <v>2.3010000000000002</v>
      </c>
      <c r="AC841">
        <v>23.08</v>
      </c>
      <c r="AE841">
        <v>1</v>
      </c>
      <c r="AF841" t="s">
        <v>2141</v>
      </c>
      <c r="AG841">
        <v>14</v>
      </c>
      <c r="AK841" t="s">
        <v>291</v>
      </c>
      <c r="AM841" t="s">
        <v>98</v>
      </c>
      <c r="AN841" t="s">
        <v>98</v>
      </c>
      <c r="AO841" t="s">
        <v>291</v>
      </c>
      <c r="AP841" t="s">
        <v>99</v>
      </c>
      <c r="AQ841" t="s">
        <v>102</v>
      </c>
      <c r="AV841" t="s">
        <v>98</v>
      </c>
      <c r="AX841" t="s">
        <v>261</v>
      </c>
      <c r="AZ841" t="s">
        <v>109</v>
      </c>
      <c r="BB841" t="s">
        <v>106</v>
      </c>
      <c r="BC841" t="s">
        <v>2204</v>
      </c>
      <c r="BF841" t="s">
        <v>2734</v>
      </c>
      <c r="BG841" t="s">
        <v>98</v>
      </c>
      <c r="BH841" t="s">
        <v>98</v>
      </c>
      <c r="BI841" t="s">
        <v>98</v>
      </c>
      <c r="BK841" t="s">
        <v>138</v>
      </c>
      <c r="BX841" t="s">
        <v>2218</v>
      </c>
      <c r="BY841" t="s">
        <v>291</v>
      </c>
      <c r="BZ841" t="s">
        <v>261</v>
      </c>
      <c r="CA841" t="s">
        <v>2732</v>
      </c>
      <c r="CB841" t="s">
        <v>261</v>
      </c>
      <c r="CC841">
        <v>200</v>
      </c>
      <c r="CD841">
        <v>0.43099999999999999</v>
      </c>
      <c r="CE841">
        <v>51.54</v>
      </c>
      <c r="CF841">
        <v>3959</v>
      </c>
      <c r="CG841">
        <v>3000</v>
      </c>
      <c r="CH841">
        <v>83</v>
      </c>
      <c r="CI841">
        <v>1363</v>
      </c>
      <c r="CJ841">
        <v>786</v>
      </c>
      <c r="CK841">
        <v>30000</v>
      </c>
      <c r="CL841" t="s">
        <v>291</v>
      </c>
      <c r="CM841" t="s">
        <v>98</v>
      </c>
      <c r="CO841" s="1">
        <v>42802</v>
      </c>
      <c r="CP841" s="1">
        <v>43595</v>
      </c>
    </row>
    <row r="842" spans="1:94" x14ac:dyDescent="0.25">
      <c r="A842" s="4" t="s">
        <v>2735</v>
      </c>
      <c r="B842" t="str">
        <f xml:space="preserve"> "" &amp; 706411055324</f>
        <v>706411055324</v>
      </c>
      <c r="C842" t="s">
        <v>2302</v>
      </c>
      <c r="D842" t="s">
        <v>4500</v>
      </c>
      <c r="E842" t="str">
        <f xml:space="preserve"> "TRADITIONAL CONCEPT" &amp;  CHAR(153) &amp; " 44"" LED"</f>
        <v>TRADITIONAL CONCEPT™ 44" LED</v>
      </c>
      <c r="F842" t="s">
        <v>2113</v>
      </c>
      <c r="G842">
        <v>1</v>
      </c>
      <c r="H842">
        <v>1</v>
      </c>
      <c r="I842" t="s">
        <v>97</v>
      </c>
      <c r="J842" s="32">
        <v>166.95</v>
      </c>
      <c r="K842" s="32">
        <v>500.85</v>
      </c>
      <c r="L842">
        <v>0</v>
      </c>
      <c r="N842">
        <v>0</v>
      </c>
      <c r="Q842" t="s">
        <v>291</v>
      </c>
      <c r="R842" s="32">
        <v>333.95</v>
      </c>
      <c r="S842">
        <v>11</v>
      </c>
      <c r="T842">
        <v>44</v>
      </c>
      <c r="U842">
        <v>44</v>
      </c>
      <c r="W842">
        <v>19.399999999999999</v>
      </c>
      <c r="X842">
        <v>1</v>
      </c>
      <c r="Y842">
        <v>12.88</v>
      </c>
      <c r="Z842">
        <v>23.75</v>
      </c>
      <c r="AA842">
        <v>13</v>
      </c>
      <c r="AB842">
        <v>2.3010000000000002</v>
      </c>
      <c r="AC842">
        <v>23.08</v>
      </c>
      <c r="AE842">
        <v>1</v>
      </c>
      <c r="AF842" t="s">
        <v>2141</v>
      </c>
      <c r="AG842">
        <v>14</v>
      </c>
      <c r="AK842" t="s">
        <v>291</v>
      </c>
      <c r="AM842" t="s">
        <v>98</v>
      </c>
      <c r="AN842" t="s">
        <v>98</v>
      </c>
      <c r="AO842" t="s">
        <v>291</v>
      </c>
      <c r="AP842" t="s">
        <v>99</v>
      </c>
      <c r="AQ842" t="s">
        <v>102</v>
      </c>
      <c r="AV842" t="s">
        <v>98</v>
      </c>
      <c r="AX842" t="s">
        <v>302</v>
      </c>
      <c r="AZ842" t="s">
        <v>109</v>
      </c>
      <c r="BB842" t="s">
        <v>106</v>
      </c>
      <c r="BC842" t="s">
        <v>2204</v>
      </c>
      <c r="BF842" t="s">
        <v>2736</v>
      </c>
      <c r="BG842" t="s">
        <v>98</v>
      </c>
      <c r="BH842" t="s">
        <v>98</v>
      </c>
      <c r="BI842" t="s">
        <v>98</v>
      </c>
      <c r="BJ842" t="s">
        <v>291</v>
      </c>
      <c r="BK842" t="s">
        <v>292</v>
      </c>
      <c r="BX842" t="s">
        <v>2218</v>
      </c>
      <c r="BY842" t="s">
        <v>291</v>
      </c>
      <c r="BZ842" t="s">
        <v>302</v>
      </c>
      <c r="CA842" t="s">
        <v>2732</v>
      </c>
      <c r="CB842" t="s">
        <v>302</v>
      </c>
      <c r="CC842">
        <v>200</v>
      </c>
      <c r="CD842">
        <v>0.43099999999999999</v>
      </c>
      <c r="CE842">
        <v>51.44</v>
      </c>
      <c r="CF842">
        <v>3959</v>
      </c>
      <c r="CG842">
        <v>3000</v>
      </c>
      <c r="CH842">
        <v>83</v>
      </c>
      <c r="CI842">
        <v>1458</v>
      </c>
      <c r="CJ842">
        <v>786</v>
      </c>
      <c r="CK842">
        <v>30000</v>
      </c>
      <c r="CL842" t="s">
        <v>291</v>
      </c>
      <c r="CM842" t="s">
        <v>98</v>
      </c>
      <c r="CO842" s="1">
        <v>42802</v>
      </c>
      <c r="CP842" s="1">
        <v>43595</v>
      </c>
    </row>
    <row r="843" spans="1:94" x14ac:dyDescent="0.25">
      <c r="A843" s="4" t="s">
        <v>2737</v>
      </c>
      <c r="B843" t="str">
        <f xml:space="preserve"> "" &amp; 706411055591</f>
        <v>706411055591</v>
      </c>
      <c r="C843" t="s">
        <v>2203</v>
      </c>
      <c r="D843" t="s">
        <v>4500</v>
      </c>
      <c r="E843" t="str">
        <f xml:space="preserve"> "TRADITIONAL CONCEPT" &amp;  CHAR(153) &amp; " 52"" LED"</f>
        <v>TRADITIONAL CONCEPT™ 52" LED</v>
      </c>
      <c r="F843" t="s">
        <v>2113</v>
      </c>
      <c r="G843">
        <v>1</v>
      </c>
      <c r="H843">
        <v>1</v>
      </c>
      <c r="I843" t="s">
        <v>97</v>
      </c>
      <c r="J843" s="32">
        <v>174.95</v>
      </c>
      <c r="K843" s="32">
        <v>524.85</v>
      </c>
      <c r="L843">
        <v>0</v>
      </c>
      <c r="N843">
        <v>0</v>
      </c>
      <c r="Q843" t="s">
        <v>291</v>
      </c>
      <c r="R843" s="32">
        <v>349.95</v>
      </c>
      <c r="S843">
        <v>11</v>
      </c>
      <c r="T843">
        <v>52</v>
      </c>
      <c r="U843">
        <v>52</v>
      </c>
      <c r="W843">
        <v>22.69</v>
      </c>
      <c r="X843">
        <v>1</v>
      </c>
      <c r="Y843">
        <v>12.88</v>
      </c>
      <c r="Z843">
        <v>23.75</v>
      </c>
      <c r="AA843">
        <v>13</v>
      </c>
      <c r="AB843">
        <v>2.3010000000000002</v>
      </c>
      <c r="AC843">
        <v>26.37</v>
      </c>
      <c r="AE843">
        <v>1</v>
      </c>
      <c r="AF843" t="s">
        <v>2141</v>
      </c>
      <c r="AG843">
        <v>14</v>
      </c>
      <c r="AK843" t="s">
        <v>291</v>
      </c>
      <c r="AM843" t="s">
        <v>98</v>
      </c>
      <c r="AN843" t="s">
        <v>98</v>
      </c>
      <c r="AO843" t="s">
        <v>291</v>
      </c>
      <c r="AP843" t="s">
        <v>99</v>
      </c>
      <c r="AQ843" t="s">
        <v>102</v>
      </c>
      <c r="AV843" t="s">
        <v>98</v>
      </c>
      <c r="AX843" t="s">
        <v>245</v>
      </c>
      <c r="AZ843" t="s">
        <v>109</v>
      </c>
      <c r="BB843" t="s">
        <v>106</v>
      </c>
      <c r="BC843" t="s">
        <v>2730</v>
      </c>
      <c r="BF843" t="s">
        <v>2738</v>
      </c>
      <c r="BG843" t="s">
        <v>98</v>
      </c>
      <c r="BH843" t="s">
        <v>98</v>
      </c>
      <c r="BI843" t="s">
        <v>98</v>
      </c>
      <c r="BJ843" t="s">
        <v>291</v>
      </c>
      <c r="BK843" t="s">
        <v>292</v>
      </c>
      <c r="BX843" t="s">
        <v>2218</v>
      </c>
      <c r="BY843" t="s">
        <v>291</v>
      </c>
      <c r="BZ843" t="s">
        <v>2159</v>
      </c>
      <c r="CA843" t="s">
        <v>2739</v>
      </c>
      <c r="CB843" t="s">
        <v>245</v>
      </c>
      <c r="CC843">
        <v>161</v>
      </c>
      <c r="CD843">
        <v>0.51</v>
      </c>
      <c r="CE843">
        <v>60.54</v>
      </c>
      <c r="CF843">
        <v>5203</v>
      </c>
      <c r="CG843">
        <v>3000</v>
      </c>
      <c r="CH843">
        <v>84</v>
      </c>
      <c r="CI843">
        <v>1363</v>
      </c>
      <c r="CJ843">
        <v>478</v>
      </c>
      <c r="CK843">
        <v>30000</v>
      </c>
      <c r="CL843" t="s">
        <v>291</v>
      </c>
      <c r="CM843" t="s">
        <v>98</v>
      </c>
      <c r="CO843" s="1">
        <v>42802</v>
      </c>
      <c r="CP843" s="1">
        <v>43595</v>
      </c>
    </row>
    <row r="844" spans="1:94" x14ac:dyDescent="0.25">
      <c r="A844" s="4" t="s">
        <v>2740</v>
      </c>
      <c r="B844" t="str">
        <f xml:space="preserve"> "" &amp; 706411055607</f>
        <v>706411055607</v>
      </c>
      <c r="C844" t="s">
        <v>2203</v>
      </c>
      <c r="D844" t="s">
        <v>4500</v>
      </c>
      <c r="E844" t="str">
        <f xml:space="preserve"> "TRADITIONAL CONCEPT" &amp;  CHAR(153) &amp; " 52"" LED"</f>
        <v>TRADITIONAL CONCEPT™ 52" LED</v>
      </c>
      <c r="F844" t="s">
        <v>2113</v>
      </c>
      <c r="G844">
        <v>1</v>
      </c>
      <c r="H844">
        <v>1</v>
      </c>
      <c r="I844" t="s">
        <v>97</v>
      </c>
      <c r="J844" s="32">
        <v>174.95</v>
      </c>
      <c r="K844" s="32">
        <v>524.85</v>
      </c>
      <c r="L844">
        <v>0</v>
      </c>
      <c r="N844">
        <v>0</v>
      </c>
      <c r="Q844" t="s">
        <v>291</v>
      </c>
      <c r="R844" s="32">
        <v>349.95</v>
      </c>
      <c r="S844">
        <v>11</v>
      </c>
      <c r="T844">
        <v>52</v>
      </c>
      <c r="U844">
        <v>52</v>
      </c>
      <c r="W844">
        <v>22.69</v>
      </c>
      <c r="X844">
        <v>1</v>
      </c>
      <c r="Y844">
        <v>12.88</v>
      </c>
      <c r="Z844">
        <v>23.75</v>
      </c>
      <c r="AA844">
        <v>13</v>
      </c>
      <c r="AB844">
        <v>2.3010000000000002</v>
      </c>
      <c r="AC844">
        <v>26.37</v>
      </c>
      <c r="AE844">
        <v>1</v>
      </c>
      <c r="AF844" t="s">
        <v>2141</v>
      </c>
      <c r="AG844">
        <v>14</v>
      </c>
      <c r="AK844" t="s">
        <v>291</v>
      </c>
      <c r="AM844" t="s">
        <v>98</v>
      </c>
      <c r="AN844" t="s">
        <v>98</v>
      </c>
      <c r="AO844" t="s">
        <v>291</v>
      </c>
      <c r="AP844" t="s">
        <v>99</v>
      </c>
      <c r="AQ844" t="s">
        <v>102</v>
      </c>
      <c r="AV844" t="s">
        <v>98</v>
      </c>
      <c r="AX844" t="s">
        <v>261</v>
      </c>
      <c r="AZ844" t="s">
        <v>109</v>
      </c>
      <c r="BB844" t="s">
        <v>106</v>
      </c>
      <c r="BC844" t="s">
        <v>2204</v>
      </c>
      <c r="BF844" t="s">
        <v>2741</v>
      </c>
      <c r="BG844" t="s">
        <v>98</v>
      </c>
      <c r="BH844" t="s">
        <v>98</v>
      </c>
      <c r="BI844" t="s">
        <v>98</v>
      </c>
      <c r="BJ844" t="s">
        <v>291</v>
      </c>
      <c r="BK844" t="s">
        <v>292</v>
      </c>
      <c r="BX844" t="s">
        <v>2218</v>
      </c>
      <c r="BY844" t="s">
        <v>291</v>
      </c>
      <c r="BZ844" t="s">
        <v>2742</v>
      </c>
      <c r="CA844" t="s">
        <v>2740</v>
      </c>
      <c r="CB844" t="s">
        <v>261</v>
      </c>
      <c r="CC844">
        <v>161</v>
      </c>
      <c r="CD844">
        <v>0.51</v>
      </c>
      <c r="CE844">
        <v>60.54</v>
      </c>
      <c r="CF844">
        <v>5203</v>
      </c>
      <c r="CG844">
        <v>3000</v>
      </c>
      <c r="CH844">
        <v>83</v>
      </c>
      <c r="CI844">
        <v>1363</v>
      </c>
      <c r="CJ844">
        <v>786</v>
      </c>
      <c r="CK844">
        <v>30000</v>
      </c>
      <c r="CL844" t="s">
        <v>291</v>
      </c>
      <c r="CM844" t="s">
        <v>98</v>
      </c>
      <c r="CO844" s="1">
        <v>42802</v>
      </c>
      <c r="CP844" s="1">
        <v>43595</v>
      </c>
    </row>
    <row r="845" spans="1:94" x14ac:dyDescent="0.25">
      <c r="A845" s="4" t="s">
        <v>2743</v>
      </c>
      <c r="B845" t="str">
        <f xml:space="preserve"> "" &amp; 706411055614</f>
        <v>706411055614</v>
      </c>
      <c r="C845" t="s">
        <v>2203</v>
      </c>
      <c r="D845" t="s">
        <v>4500</v>
      </c>
      <c r="E845" t="str">
        <f xml:space="preserve"> "TRADIONAL CONCEPT" &amp;  CHAR(153) &amp; " 52"" LED"</f>
        <v>TRADIONAL CONCEPT™ 52" LED</v>
      </c>
      <c r="F845" t="s">
        <v>2113</v>
      </c>
      <c r="G845">
        <v>1</v>
      </c>
      <c r="H845">
        <v>1</v>
      </c>
      <c r="I845" t="s">
        <v>97</v>
      </c>
      <c r="J845" s="32">
        <v>174.95</v>
      </c>
      <c r="K845" s="32">
        <v>524.85</v>
      </c>
      <c r="L845">
        <v>0</v>
      </c>
      <c r="N845">
        <v>0</v>
      </c>
      <c r="Q845" t="s">
        <v>291</v>
      </c>
      <c r="R845" s="32">
        <v>349.95</v>
      </c>
      <c r="S845">
        <v>11</v>
      </c>
      <c r="T845">
        <v>52</v>
      </c>
      <c r="U845">
        <v>52</v>
      </c>
      <c r="W845">
        <v>22.53</v>
      </c>
      <c r="X845">
        <v>1</v>
      </c>
      <c r="Y845">
        <v>12.88</v>
      </c>
      <c r="Z845">
        <v>23.75</v>
      </c>
      <c r="AA845">
        <v>13</v>
      </c>
      <c r="AB845">
        <v>2.3010000000000002</v>
      </c>
      <c r="AC845">
        <v>25</v>
      </c>
      <c r="AE845">
        <v>1</v>
      </c>
      <c r="AF845" t="s">
        <v>2141</v>
      </c>
      <c r="AG845">
        <v>14</v>
      </c>
      <c r="AK845" t="s">
        <v>291</v>
      </c>
      <c r="AM845" t="s">
        <v>98</v>
      </c>
      <c r="AN845" t="s">
        <v>98</v>
      </c>
      <c r="AO845" t="s">
        <v>291</v>
      </c>
      <c r="AP845" t="s">
        <v>99</v>
      </c>
      <c r="AQ845" t="s">
        <v>102</v>
      </c>
      <c r="AV845" t="s">
        <v>98</v>
      </c>
      <c r="AX845" t="s">
        <v>302</v>
      </c>
      <c r="AZ845" t="s">
        <v>109</v>
      </c>
      <c r="BB845" t="s">
        <v>106</v>
      </c>
      <c r="BC845" t="s">
        <v>2204</v>
      </c>
      <c r="BF845" t="s">
        <v>2744</v>
      </c>
      <c r="BG845" t="s">
        <v>98</v>
      </c>
      <c r="BH845" t="s">
        <v>98</v>
      </c>
      <c r="BI845" t="s">
        <v>98</v>
      </c>
      <c r="BJ845" t="s">
        <v>291</v>
      </c>
      <c r="BK845" t="s">
        <v>292</v>
      </c>
      <c r="BX845" t="s">
        <v>2218</v>
      </c>
      <c r="BY845" t="s">
        <v>291</v>
      </c>
      <c r="BZ845" t="s">
        <v>302</v>
      </c>
      <c r="CA845" t="s">
        <v>2739</v>
      </c>
      <c r="CB845" t="s">
        <v>302</v>
      </c>
      <c r="CC845">
        <v>161</v>
      </c>
      <c r="CD845">
        <v>0.51</v>
      </c>
      <c r="CE845">
        <v>60.54</v>
      </c>
      <c r="CF845">
        <v>5203</v>
      </c>
      <c r="CG845">
        <v>3000</v>
      </c>
      <c r="CH845">
        <v>83</v>
      </c>
      <c r="CI845">
        <v>1363</v>
      </c>
      <c r="CJ845">
        <v>786</v>
      </c>
      <c r="CK845">
        <v>30000</v>
      </c>
      <c r="CL845" t="s">
        <v>291</v>
      </c>
      <c r="CM845" t="s">
        <v>98</v>
      </c>
      <c r="CO845" s="1">
        <v>42802</v>
      </c>
      <c r="CP845" s="1">
        <v>43595</v>
      </c>
    </row>
    <row r="846" spans="1:94" x14ac:dyDescent="0.25">
      <c r="A846" s="4" t="s">
        <v>2745</v>
      </c>
      <c r="B846" t="str">
        <f xml:space="preserve"> "" &amp; 706411018480</f>
        <v>706411018480</v>
      </c>
      <c r="C846" t="s">
        <v>2178</v>
      </c>
      <c r="D846" t="s">
        <v>4457</v>
      </c>
      <c r="E846" t="str">
        <f xml:space="preserve"> "CIRQUE" &amp;  CHAR(153) &amp; ""</f>
        <v>CIRQUE™</v>
      </c>
      <c r="F846" t="s">
        <v>2113</v>
      </c>
      <c r="G846">
        <v>1</v>
      </c>
      <c r="H846">
        <v>1</v>
      </c>
      <c r="I846" t="s">
        <v>97</v>
      </c>
      <c r="J846" s="32">
        <v>259.95</v>
      </c>
      <c r="K846" s="32">
        <v>779.85</v>
      </c>
      <c r="L846">
        <v>0</v>
      </c>
      <c r="N846">
        <v>0</v>
      </c>
      <c r="Q846" t="s">
        <v>291</v>
      </c>
      <c r="R846" s="32">
        <v>524.95000000000005</v>
      </c>
      <c r="S846">
        <v>15</v>
      </c>
      <c r="T846">
        <v>54</v>
      </c>
      <c r="U846">
        <v>54</v>
      </c>
      <c r="W846">
        <v>28.15</v>
      </c>
      <c r="X846">
        <v>1</v>
      </c>
      <c r="Y846">
        <v>12.38</v>
      </c>
      <c r="Z846">
        <v>22.5</v>
      </c>
      <c r="AA846">
        <v>15</v>
      </c>
      <c r="AB846">
        <v>2.4180000000000001</v>
      </c>
      <c r="AC846">
        <v>32.06</v>
      </c>
      <c r="AE846">
        <v>1</v>
      </c>
      <c r="AF846" t="s">
        <v>2669</v>
      </c>
      <c r="AG846">
        <v>50</v>
      </c>
      <c r="AK846" t="s">
        <v>291</v>
      </c>
      <c r="AM846" t="s">
        <v>98</v>
      </c>
      <c r="AN846" t="s">
        <v>98</v>
      </c>
      <c r="AO846" t="s">
        <v>291</v>
      </c>
      <c r="AP846" t="s">
        <v>99</v>
      </c>
      <c r="AQ846" t="s">
        <v>102</v>
      </c>
      <c r="AV846" t="s">
        <v>98</v>
      </c>
      <c r="AX846" t="s">
        <v>150</v>
      </c>
      <c r="AZ846" t="s">
        <v>2180</v>
      </c>
      <c r="BF846" t="s">
        <v>2746</v>
      </c>
      <c r="BG846" t="s">
        <v>98</v>
      </c>
      <c r="BH846" t="s">
        <v>98</v>
      </c>
      <c r="BI846" t="s">
        <v>98</v>
      </c>
      <c r="BK846" t="s">
        <v>138</v>
      </c>
      <c r="BU846">
        <v>6</v>
      </c>
      <c r="BW846">
        <v>0.75</v>
      </c>
      <c r="BX846" t="s">
        <v>2218</v>
      </c>
      <c r="BY846" t="s">
        <v>291</v>
      </c>
      <c r="BZ846" t="s">
        <v>441</v>
      </c>
      <c r="CA846" t="s">
        <v>2747</v>
      </c>
      <c r="CB846" t="s">
        <v>150</v>
      </c>
      <c r="CC846">
        <v>143</v>
      </c>
      <c r="CD846">
        <v>0.44</v>
      </c>
      <c r="CE846">
        <v>49</v>
      </c>
      <c r="CF846">
        <v>5086.51</v>
      </c>
      <c r="CL846" t="s">
        <v>291</v>
      </c>
      <c r="CM846" t="s">
        <v>98</v>
      </c>
      <c r="CO846" s="1">
        <v>37631</v>
      </c>
      <c r="CP846" s="1">
        <v>43595</v>
      </c>
    </row>
    <row r="847" spans="1:94" x14ac:dyDescent="0.25">
      <c r="A847" s="4" t="s">
        <v>2748</v>
      </c>
      <c r="B847" t="str">
        <f xml:space="preserve"> "" &amp; 706411040177</f>
        <v>706411040177</v>
      </c>
      <c r="C847" t="s">
        <v>2178</v>
      </c>
      <c r="D847" t="s">
        <v>4457</v>
      </c>
      <c r="E847" t="str">
        <f xml:space="preserve"> "CIRQUE" &amp;  CHAR(153) &amp; ""</f>
        <v>CIRQUE™</v>
      </c>
      <c r="F847" t="s">
        <v>2113</v>
      </c>
      <c r="G847">
        <v>1</v>
      </c>
      <c r="H847">
        <v>1</v>
      </c>
      <c r="I847" t="s">
        <v>97</v>
      </c>
      <c r="J847" s="32">
        <v>259.95</v>
      </c>
      <c r="K847" s="32">
        <v>779.85</v>
      </c>
      <c r="L847">
        <v>0</v>
      </c>
      <c r="N847">
        <v>0</v>
      </c>
      <c r="Q847" t="s">
        <v>291</v>
      </c>
      <c r="R847" s="32">
        <v>524.95000000000005</v>
      </c>
      <c r="S847">
        <v>15</v>
      </c>
      <c r="T847">
        <v>54</v>
      </c>
      <c r="U847">
        <v>54</v>
      </c>
      <c r="W847">
        <v>26.46</v>
      </c>
      <c r="X847">
        <v>1</v>
      </c>
      <c r="Y847">
        <v>12.38</v>
      </c>
      <c r="Z847">
        <v>22.5</v>
      </c>
      <c r="AA847">
        <v>15</v>
      </c>
      <c r="AB847">
        <v>2.4180000000000001</v>
      </c>
      <c r="AC847">
        <v>29.7</v>
      </c>
      <c r="AE847">
        <v>1</v>
      </c>
      <c r="AF847" t="s">
        <v>2669</v>
      </c>
      <c r="AG847">
        <v>50</v>
      </c>
      <c r="AK847" t="s">
        <v>291</v>
      </c>
      <c r="AM847" t="s">
        <v>98</v>
      </c>
      <c r="AN847" t="s">
        <v>98</v>
      </c>
      <c r="AO847" t="s">
        <v>291</v>
      </c>
      <c r="AP847" t="s">
        <v>99</v>
      </c>
      <c r="AQ847" t="s">
        <v>102</v>
      </c>
      <c r="AV847" t="s">
        <v>98</v>
      </c>
      <c r="AX847" t="s">
        <v>257</v>
      </c>
      <c r="AZ847" t="s">
        <v>2180</v>
      </c>
      <c r="BF847" t="s">
        <v>2749</v>
      </c>
      <c r="BG847" t="s">
        <v>98</v>
      </c>
      <c r="BH847" t="s">
        <v>98</v>
      </c>
      <c r="BI847" t="s">
        <v>98</v>
      </c>
      <c r="BK847" t="s">
        <v>138</v>
      </c>
      <c r="BU847">
        <v>6</v>
      </c>
      <c r="BW847">
        <v>0.75</v>
      </c>
      <c r="BX847" t="s">
        <v>2218</v>
      </c>
      <c r="BY847" t="s">
        <v>291</v>
      </c>
      <c r="BZ847" t="s">
        <v>2750</v>
      </c>
      <c r="CA847" t="s">
        <v>2747</v>
      </c>
      <c r="CB847" t="s">
        <v>257</v>
      </c>
      <c r="CC847">
        <v>155</v>
      </c>
      <c r="CD847">
        <v>0.4</v>
      </c>
      <c r="CE847">
        <v>47</v>
      </c>
      <c r="CF847">
        <v>6000</v>
      </c>
      <c r="CL847" t="s">
        <v>291</v>
      </c>
      <c r="CM847" t="s">
        <v>98</v>
      </c>
      <c r="CO847" s="1">
        <v>40478</v>
      </c>
      <c r="CP847" s="1">
        <v>43595</v>
      </c>
    </row>
    <row r="848" spans="1:94" x14ac:dyDescent="0.25">
      <c r="A848" s="4" t="s">
        <v>2751</v>
      </c>
      <c r="B848" t="str">
        <f xml:space="preserve"> "" &amp; 706411008931</f>
        <v>706411008931</v>
      </c>
      <c r="C848" t="s">
        <v>2178</v>
      </c>
      <c r="D848" t="s">
        <v>4447</v>
      </c>
      <c r="E848" t="str">
        <f xml:space="preserve"> "AIRUS" &amp;  CHAR(153) &amp; ""</f>
        <v>AIRUS™</v>
      </c>
      <c r="F848" t="s">
        <v>2113</v>
      </c>
      <c r="G848">
        <v>1</v>
      </c>
      <c r="H848">
        <v>1</v>
      </c>
      <c r="I848" t="s">
        <v>97</v>
      </c>
      <c r="J848" s="32">
        <v>249.95</v>
      </c>
      <c r="K848" s="32">
        <v>749.85</v>
      </c>
      <c r="L848">
        <v>0</v>
      </c>
      <c r="N848">
        <v>0</v>
      </c>
      <c r="Q848" t="s">
        <v>291</v>
      </c>
      <c r="R848" s="32">
        <v>479.95</v>
      </c>
      <c r="S848">
        <v>14</v>
      </c>
      <c r="T848">
        <v>54</v>
      </c>
      <c r="U848">
        <v>54</v>
      </c>
      <c r="W848">
        <v>26.46</v>
      </c>
      <c r="X848">
        <v>1</v>
      </c>
      <c r="Y848">
        <v>9.5</v>
      </c>
      <c r="Z848">
        <v>27.25</v>
      </c>
      <c r="AA848">
        <v>16.13</v>
      </c>
      <c r="AB848">
        <v>2.4159999999999999</v>
      </c>
      <c r="AC848">
        <v>29.76</v>
      </c>
      <c r="AE848">
        <v>2</v>
      </c>
      <c r="AF848" t="s">
        <v>2598</v>
      </c>
      <c r="AG848">
        <v>50</v>
      </c>
      <c r="AH848">
        <v>2</v>
      </c>
      <c r="AI848" t="s">
        <v>2598</v>
      </c>
      <c r="AJ848">
        <v>50</v>
      </c>
      <c r="AK848" t="s">
        <v>291</v>
      </c>
      <c r="AM848" t="s">
        <v>98</v>
      </c>
      <c r="AN848" t="s">
        <v>98</v>
      </c>
      <c r="AO848" t="s">
        <v>291</v>
      </c>
      <c r="AP848" t="s">
        <v>99</v>
      </c>
      <c r="AQ848" t="s">
        <v>102</v>
      </c>
      <c r="AV848" t="s">
        <v>98</v>
      </c>
      <c r="AX848" t="s">
        <v>150</v>
      </c>
      <c r="AZ848" t="s">
        <v>2118</v>
      </c>
      <c r="BB848" t="s">
        <v>54</v>
      </c>
      <c r="BC848" t="s">
        <v>2680</v>
      </c>
      <c r="BF848" t="s">
        <v>2752</v>
      </c>
      <c r="BG848" t="s">
        <v>98</v>
      </c>
      <c r="BH848" t="s">
        <v>98</v>
      </c>
      <c r="BI848" t="s">
        <v>98</v>
      </c>
      <c r="BK848" t="s">
        <v>138</v>
      </c>
      <c r="BU848">
        <v>6</v>
      </c>
      <c r="BW848">
        <v>0.75</v>
      </c>
      <c r="BX848" t="s">
        <v>2218</v>
      </c>
      <c r="BY848" t="s">
        <v>291</v>
      </c>
      <c r="BZ848" t="s">
        <v>441</v>
      </c>
      <c r="CA848" t="s">
        <v>2753</v>
      </c>
      <c r="CB848" t="s">
        <v>150</v>
      </c>
      <c r="CC848">
        <v>150</v>
      </c>
      <c r="CD848">
        <v>0.68</v>
      </c>
      <c r="CE848">
        <v>82</v>
      </c>
      <c r="CF848">
        <v>5668.09</v>
      </c>
      <c r="CL848" t="s">
        <v>291</v>
      </c>
      <c r="CM848" t="s">
        <v>98</v>
      </c>
      <c r="CO848" s="1">
        <v>37243</v>
      </c>
      <c r="CP848" s="1">
        <v>43595</v>
      </c>
    </row>
    <row r="849" spans="1:94" x14ac:dyDescent="0.25">
      <c r="A849" s="4" t="s">
        <v>2754</v>
      </c>
      <c r="B849" t="str">
        <f xml:space="preserve"> "" &amp; 706411028366</f>
        <v>706411028366</v>
      </c>
      <c r="C849" t="s">
        <v>2178</v>
      </c>
      <c r="D849" t="s">
        <v>4447</v>
      </c>
      <c r="E849" t="str">
        <f xml:space="preserve"> "AIRUS" &amp;  CHAR(153) &amp; ""</f>
        <v>AIRUS™</v>
      </c>
      <c r="F849" t="s">
        <v>2113</v>
      </c>
      <c r="G849">
        <v>1</v>
      </c>
      <c r="H849">
        <v>1</v>
      </c>
      <c r="I849" t="s">
        <v>97</v>
      </c>
      <c r="J849" s="32">
        <v>249.95</v>
      </c>
      <c r="K849" s="32">
        <v>749.85</v>
      </c>
      <c r="L849">
        <v>0</v>
      </c>
      <c r="N849">
        <v>0</v>
      </c>
      <c r="Q849" t="s">
        <v>291</v>
      </c>
      <c r="R849" s="32">
        <v>479.95</v>
      </c>
      <c r="S849">
        <v>14</v>
      </c>
      <c r="T849">
        <v>54</v>
      </c>
      <c r="U849">
        <v>54</v>
      </c>
      <c r="W849">
        <v>26.46</v>
      </c>
      <c r="X849">
        <v>1</v>
      </c>
      <c r="Y849">
        <v>9.5</v>
      </c>
      <c r="Z849">
        <v>27.25</v>
      </c>
      <c r="AA849">
        <v>16.13</v>
      </c>
      <c r="AB849">
        <v>2.4159999999999999</v>
      </c>
      <c r="AC849">
        <v>29.76</v>
      </c>
      <c r="AE849">
        <v>2</v>
      </c>
      <c r="AF849" t="s">
        <v>2598</v>
      </c>
      <c r="AG849">
        <v>50</v>
      </c>
      <c r="AH849">
        <v>2</v>
      </c>
      <c r="AI849" t="s">
        <v>2598</v>
      </c>
      <c r="AJ849">
        <v>50</v>
      </c>
      <c r="AK849" t="s">
        <v>291</v>
      </c>
      <c r="AM849" t="s">
        <v>98</v>
      </c>
      <c r="AN849" t="s">
        <v>98</v>
      </c>
      <c r="AO849" t="s">
        <v>291</v>
      </c>
      <c r="AP849" t="s">
        <v>99</v>
      </c>
      <c r="AQ849" t="s">
        <v>102</v>
      </c>
      <c r="AV849" t="s">
        <v>98</v>
      </c>
      <c r="AX849" t="s">
        <v>245</v>
      </c>
      <c r="AZ849" t="s">
        <v>2118</v>
      </c>
      <c r="BB849" t="s">
        <v>54</v>
      </c>
      <c r="BC849" t="s">
        <v>2527</v>
      </c>
      <c r="BF849" t="s">
        <v>2755</v>
      </c>
      <c r="BG849" t="s">
        <v>98</v>
      </c>
      <c r="BH849" t="s">
        <v>98</v>
      </c>
      <c r="BI849" t="s">
        <v>98</v>
      </c>
      <c r="BK849" t="s">
        <v>138</v>
      </c>
      <c r="BU849">
        <v>6</v>
      </c>
      <c r="BW849">
        <v>0.75</v>
      </c>
      <c r="BX849" t="s">
        <v>2218</v>
      </c>
      <c r="BY849" t="s">
        <v>291</v>
      </c>
      <c r="BZ849" t="s">
        <v>2159</v>
      </c>
      <c r="CA849" t="s">
        <v>2753</v>
      </c>
      <c r="CB849" t="s">
        <v>245</v>
      </c>
      <c r="CC849">
        <v>150</v>
      </c>
      <c r="CD849">
        <v>0.68</v>
      </c>
      <c r="CE849">
        <v>82</v>
      </c>
      <c r="CF849">
        <v>5668.09</v>
      </c>
      <c r="CL849" t="s">
        <v>291</v>
      </c>
      <c r="CM849" t="s">
        <v>98</v>
      </c>
      <c r="CO849" s="1">
        <v>37243</v>
      </c>
      <c r="CP849" s="1">
        <v>43595</v>
      </c>
    </row>
    <row r="850" spans="1:94" x14ac:dyDescent="0.25">
      <c r="A850" s="4" t="s">
        <v>2756</v>
      </c>
      <c r="B850" t="str">
        <f xml:space="preserve"> "" &amp; 706411008948</f>
        <v>706411008948</v>
      </c>
      <c r="C850" t="s">
        <v>2178</v>
      </c>
      <c r="D850" t="s">
        <v>4447</v>
      </c>
      <c r="E850" t="str">
        <f xml:space="preserve"> "AIRUS" &amp;  CHAR(153) &amp; ""</f>
        <v>AIRUS™</v>
      </c>
      <c r="F850" t="s">
        <v>2113</v>
      </c>
      <c r="G850">
        <v>1</v>
      </c>
      <c r="H850">
        <v>1</v>
      </c>
      <c r="I850" t="s">
        <v>97</v>
      </c>
      <c r="J850" s="32">
        <v>249.95</v>
      </c>
      <c r="K850" s="32">
        <v>749.85</v>
      </c>
      <c r="L850">
        <v>0</v>
      </c>
      <c r="N850">
        <v>0</v>
      </c>
      <c r="Q850" t="s">
        <v>291</v>
      </c>
      <c r="R850" s="32">
        <v>479.95</v>
      </c>
      <c r="S850">
        <v>14</v>
      </c>
      <c r="T850">
        <v>54</v>
      </c>
      <c r="U850">
        <v>54</v>
      </c>
      <c r="W850">
        <v>26.46</v>
      </c>
      <c r="X850">
        <v>1</v>
      </c>
      <c r="Y850">
        <v>9.5</v>
      </c>
      <c r="Z850">
        <v>27.25</v>
      </c>
      <c r="AA850">
        <v>16.13</v>
      </c>
      <c r="AB850">
        <v>2.4159999999999999</v>
      </c>
      <c r="AC850">
        <v>29.76</v>
      </c>
      <c r="AE850">
        <v>2</v>
      </c>
      <c r="AF850" t="s">
        <v>2598</v>
      </c>
      <c r="AG850">
        <v>50</v>
      </c>
      <c r="AH850">
        <v>2</v>
      </c>
      <c r="AI850" t="s">
        <v>2598</v>
      </c>
      <c r="AJ850">
        <v>50</v>
      </c>
      <c r="AK850" t="s">
        <v>291</v>
      </c>
      <c r="AM850" t="s">
        <v>98</v>
      </c>
      <c r="AN850" t="s">
        <v>98</v>
      </c>
      <c r="AO850" t="s">
        <v>291</v>
      </c>
      <c r="AP850" t="s">
        <v>99</v>
      </c>
      <c r="AQ850" t="s">
        <v>102</v>
      </c>
      <c r="AV850" t="s">
        <v>98</v>
      </c>
      <c r="AX850" t="s">
        <v>302</v>
      </c>
      <c r="AZ850" t="s">
        <v>2118</v>
      </c>
      <c r="BB850" t="s">
        <v>54</v>
      </c>
      <c r="BC850" t="s">
        <v>2680</v>
      </c>
      <c r="BF850" t="s">
        <v>2757</v>
      </c>
      <c r="BG850" t="s">
        <v>98</v>
      </c>
      <c r="BH850" t="s">
        <v>98</v>
      </c>
      <c r="BI850" t="s">
        <v>98</v>
      </c>
      <c r="BK850" t="s">
        <v>138</v>
      </c>
      <c r="BU850">
        <v>6</v>
      </c>
      <c r="BW850">
        <v>0.75</v>
      </c>
      <c r="BX850" t="s">
        <v>2218</v>
      </c>
      <c r="BY850" t="s">
        <v>291</v>
      </c>
      <c r="BZ850" t="s">
        <v>302</v>
      </c>
      <c r="CA850" t="s">
        <v>2753</v>
      </c>
      <c r="CB850" t="s">
        <v>302</v>
      </c>
      <c r="CC850">
        <v>150</v>
      </c>
      <c r="CD850">
        <v>0.68</v>
      </c>
      <c r="CE850">
        <v>82</v>
      </c>
      <c r="CF850">
        <v>5668.09</v>
      </c>
      <c r="CL850" t="s">
        <v>291</v>
      </c>
      <c r="CM850" t="s">
        <v>98</v>
      </c>
      <c r="CO850" s="1">
        <v>37243</v>
      </c>
      <c r="CP850" s="1">
        <v>43595</v>
      </c>
    </row>
    <row r="851" spans="1:94" x14ac:dyDescent="0.25">
      <c r="A851" s="4" t="s">
        <v>2758</v>
      </c>
      <c r="B851" t="str">
        <f xml:space="preserve"> "" &amp; 706411000003</f>
        <v>706411000003</v>
      </c>
      <c r="C851" t="s">
        <v>2178</v>
      </c>
      <c r="D851" t="s">
        <v>4446</v>
      </c>
      <c r="E851" t="str">
        <f xml:space="preserve"> "ACERO" &amp;  CHAR(153) &amp; ""</f>
        <v>ACERO™</v>
      </c>
      <c r="F851" t="s">
        <v>2113</v>
      </c>
      <c r="G851">
        <v>1</v>
      </c>
      <c r="H851">
        <v>1</v>
      </c>
      <c r="I851" t="s">
        <v>97</v>
      </c>
      <c r="J851" s="32">
        <v>234.95</v>
      </c>
      <c r="K851" s="32">
        <v>704.85</v>
      </c>
      <c r="L851">
        <v>0</v>
      </c>
      <c r="N851">
        <v>0</v>
      </c>
      <c r="S851">
        <v>13.75</v>
      </c>
      <c r="T851">
        <v>52</v>
      </c>
      <c r="U851">
        <v>52</v>
      </c>
      <c r="W851">
        <v>24.25</v>
      </c>
      <c r="X851">
        <v>1</v>
      </c>
      <c r="Y851">
        <v>10.25</v>
      </c>
      <c r="Z851">
        <v>27.25</v>
      </c>
      <c r="AA851">
        <v>15</v>
      </c>
      <c r="AB851">
        <v>2.4249999999999998</v>
      </c>
      <c r="AC851">
        <v>26.46</v>
      </c>
      <c r="AE851">
        <v>1</v>
      </c>
      <c r="AF851" t="s">
        <v>2186</v>
      </c>
      <c r="AG851">
        <v>100</v>
      </c>
      <c r="AK851" t="s">
        <v>291</v>
      </c>
      <c r="AM851" t="s">
        <v>98</v>
      </c>
      <c r="AN851" t="s">
        <v>98</v>
      </c>
      <c r="AO851" t="s">
        <v>291</v>
      </c>
      <c r="AP851" t="s">
        <v>99</v>
      </c>
      <c r="AQ851" t="s">
        <v>102</v>
      </c>
      <c r="AV851" t="s">
        <v>98</v>
      </c>
      <c r="AX851" t="s">
        <v>2759</v>
      </c>
      <c r="AZ851" t="s">
        <v>2180</v>
      </c>
      <c r="BB851" t="s">
        <v>54</v>
      </c>
      <c r="BC851" t="s">
        <v>2760</v>
      </c>
      <c r="BF851" t="s">
        <v>2761</v>
      </c>
      <c r="BG851" t="s">
        <v>98</v>
      </c>
      <c r="BH851" t="s">
        <v>98</v>
      </c>
      <c r="BI851" t="s">
        <v>98</v>
      </c>
      <c r="BK851" t="s">
        <v>138</v>
      </c>
      <c r="BU851">
        <v>6</v>
      </c>
      <c r="BW851">
        <v>0.75</v>
      </c>
      <c r="BX851" t="s">
        <v>2218</v>
      </c>
      <c r="BY851" t="s">
        <v>291</v>
      </c>
      <c r="BZ851" t="s">
        <v>441</v>
      </c>
      <c r="CA851" t="s">
        <v>2762</v>
      </c>
      <c r="CB851" t="s">
        <v>2759</v>
      </c>
      <c r="CC851">
        <v>183</v>
      </c>
      <c r="CD851">
        <v>0.59</v>
      </c>
      <c r="CE851">
        <v>70</v>
      </c>
      <c r="CF851">
        <v>6500</v>
      </c>
      <c r="CL851" t="s">
        <v>291</v>
      </c>
      <c r="CM851" t="s">
        <v>98</v>
      </c>
      <c r="CN851" t="s">
        <v>2189</v>
      </c>
      <c r="CO851" s="1">
        <v>38597</v>
      </c>
      <c r="CP851" s="1">
        <v>43595</v>
      </c>
    </row>
    <row r="852" spans="1:94" x14ac:dyDescent="0.25">
      <c r="A852" s="4" t="s">
        <v>2763</v>
      </c>
      <c r="B852" t="str">
        <f xml:space="preserve"> "" &amp; 706411026379</f>
        <v>706411026379</v>
      </c>
      <c r="C852" t="s">
        <v>2178</v>
      </c>
      <c r="D852" t="s">
        <v>4446</v>
      </c>
      <c r="E852" t="str">
        <f xml:space="preserve"> "ACERO" &amp;  CHAR(153) &amp; ""</f>
        <v>ACERO™</v>
      </c>
      <c r="F852" t="s">
        <v>2113</v>
      </c>
      <c r="G852">
        <v>1</v>
      </c>
      <c r="H852">
        <v>1</v>
      </c>
      <c r="I852" t="s">
        <v>97</v>
      </c>
      <c r="J852" s="32">
        <v>234.95</v>
      </c>
      <c r="K852" s="32">
        <v>704.85</v>
      </c>
      <c r="L852">
        <v>0</v>
      </c>
      <c r="N852">
        <v>0</v>
      </c>
      <c r="Q852" t="s">
        <v>291</v>
      </c>
      <c r="R852" s="32">
        <v>429.95</v>
      </c>
      <c r="S852">
        <v>13.75</v>
      </c>
      <c r="T852">
        <v>52</v>
      </c>
      <c r="U852">
        <v>52</v>
      </c>
      <c r="W852">
        <v>24.25</v>
      </c>
      <c r="X852">
        <v>1</v>
      </c>
      <c r="Y852">
        <v>10.25</v>
      </c>
      <c r="Z852">
        <v>27.25</v>
      </c>
      <c r="AA852">
        <v>15</v>
      </c>
      <c r="AB852">
        <v>2.4249999999999998</v>
      </c>
      <c r="AC852">
        <v>26.46</v>
      </c>
      <c r="AE852">
        <v>1</v>
      </c>
      <c r="AF852" t="s">
        <v>2663</v>
      </c>
      <c r="AG852">
        <v>100</v>
      </c>
      <c r="AK852" t="s">
        <v>291</v>
      </c>
      <c r="AM852" t="s">
        <v>98</v>
      </c>
      <c r="AN852" t="s">
        <v>98</v>
      </c>
      <c r="AO852" t="s">
        <v>291</v>
      </c>
      <c r="AP852" t="s">
        <v>99</v>
      </c>
      <c r="AQ852" t="s">
        <v>102</v>
      </c>
      <c r="AV852" t="s">
        <v>98</v>
      </c>
      <c r="AX852" t="s">
        <v>2764</v>
      </c>
      <c r="AZ852" t="s">
        <v>2180</v>
      </c>
      <c r="BB852" t="s">
        <v>54</v>
      </c>
      <c r="BC852" t="s">
        <v>2760</v>
      </c>
      <c r="BF852" t="s">
        <v>2765</v>
      </c>
      <c r="BG852" t="s">
        <v>98</v>
      </c>
      <c r="BH852" t="s">
        <v>98</v>
      </c>
      <c r="BI852" t="s">
        <v>98</v>
      </c>
      <c r="BK852" t="s">
        <v>138</v>
      </c>
      <c r="BU852">
        <v>6</v>
      </c>
      <c r="BW852">
        <v>0.75</v>
      </c>
      <c r="BX852" t="s">
        <v>2218</v>
      </c>
      <c r="BY852" t="s">
        <v>291</v>
      </c>
      <c r="BZ852" t="s">
        <v>2402</v>
      </c>
      <c r="CA852" t="s">
        <v>2762</v>
      </c>
      <c r="CB852" t="s">
        <v>2764</v>
      </c>
      <c r="CC852">
        <v>183</v>
      </c>
      <c r="CD852">
        <v>0.59</v>
      </c>
      <c r="CE852">
        <v>70</v>
      </c>
      <c r="CF852">
        <v>6500</v>
      </c>
      <c r="CL852" t="s">
        <v>291</v>
      </c>
      <c r="CM852" t="s">
        <v>98</v>
      </c>
      <c r="CN852" t="s">
        <v>2189</v>
      </c>
      <c r="CO852" s="1">
        <v>38597</v>
      </c>
      <c r="CP852" s="1">
        <v>43595</v>
      </c>
    </row>
    <row r="853" spans="1:94" x14ac:dyDescent="0.25">
      <c r="A853" s="4" t="s">
        <v>2766</v>
      </c>
      <c r="B853" t="str">
        <f xml:space="preserve"> "" &amp; 706411010347</f>
        <v>706411010347</v>
      </c>
      <c r="C853" t="s">
        <v>2178</v>
      </c>
      <c r="D853" t="s">
        <v>4446</v>
      </c>
      <c r="E853" t="str">
        <f xml:space="preserve"> "ACERO" &amp;  CHAR(153) &amp; ""</f>
        <v>ACERO™</v>
      </c>
      <c r="F853" t="s">
        <v>2113</v>
      </c>
      <c r="G853">
        <v>1</v>
      </c>
      <c r="H853">
        <v>1</v>
      </c>
      <c r="I853" t="s">
        <v>97</v>
      </c>
      <c r="J853" s="32">
        <v>234.95</v>
      </c>
      <c r="K853" s="32">
        <v>704.85</v>
      </c>
      <c r="L853">
        <v>0</v>
      </c>
      <c r="N853">
        <v>0</v>
      </c>
      <c r="S853">
        <v>13.75</v>
      </c>
      <c r="T853">
        <v>52</v>
      </c>
      <c r="U853">
        <v>52</v>
      </c>
      <c r="W853">
        <v>24.25</v>
      </c>
      <c r="X853">
        <v>1</v>
      </c>
      <c r="Y853">
        <v>10.25</v>
      </c>
      <c r="Z853">
        <v>27.25</v>
      </c>
      <c r="AA853">
        <v>15</v>
      </c>
      <c r="AB853">
        <v>2.4249999999999998</v>
      </c>
      <c r="AC853">
        <v>26.46</v>
      </c>
      <c r="AE853">
        <v>1</v>
      </c>
      <c r="AF853" t="s">
        <v>2663</v>
      </c>
      <c r="AG853">
        <v>100</v>
      </c>
      <c r="AK853" t="s">
        <v>291</v>
      </c>
      <c r="AM853" t="s">
        <v>98</v>
      </c>
      <c r="AN853" t="s">
        <v>98</v>
      </c>
      <c r="AO853" t="s">
        <v>291</v>
      </c>
      <c r="AP853" t="s">
        <v>99</v>
      </c>
      <c r="AQ853" t="s">
        <v>102</v>
      </c>
      <c r="AV853" t="s">
        <v>98</v>
      </c>
      <c r="AX853" t="s">
        <v>245</v>
      </c>
      <c r="AZ853" t="s">
        <v>2180</v>
      </c>
      <c r="BB853" t="s">
        <v>54</v>
      </c>
      <c r="BC853" t="s">
        <v>2760</v>
      </c>
      <c r="BF853" t="s">
        <v>2767</v>
      </c>
      <c r="BG853" t="s">
        <v>98</v>
      </c>
      <c r="BH853" t="s">
        <v>98</v>
      </c>
      <c r="BI853" t="s">
        <v>98</v>
      </c>
      <c r="BK853" t="s">
        <v>138</v>
      </c>
      <c r="BU853">
        <v>6</v>
      </c>
      <c r="BW853">
        <v>0.75</v>
      </c>
      <c r="BX853" t="s">
        <v>2218</v>
      </c>
      <c r="BY853" t="s">
        <v>291</v>
      </c>
      <c r="BZ853" t="s">
        <v>2768</v>
      </c>
      <c r="CA853" t="s">
        <v>2762</v>
      </c>
      <c r="CB853" t="s">
        <v>245</v>
      </c>
      <c r="CC853">
        <v>181</v>
      </c>
      <c r="CD853">
        <v>0.57999999999999996</v>
      </c>
      <c r="CE853">
        <v>69</v>
      </c>
      <c r="CF853">
        <v>6464.81</v>
      </c>
      <c r="CL853" t="s">
        <v>291</v>
      </c>
      <c r="CM853" t="s">
        <v>98</v>
      </c>
      <c r="CN853" t="s">
        <v>2189</v>
      </c>
      <c r="CO853" s="1">
        <v>38597</v>
      </c>
      <c r="CP853" s="1">
        <v>43595</v>
      </c>
    </row>
    <row r="854" spans="1:94" x14ac:dyDescent="0.25">
      <c r="A854" s="4" t="s">
        <v>2769</v>
      </c>
      <c r="B854" t="str">
        <f xml:space="preserve"> "" &amp; 706411040153</f>
        <v>706411040153</v>
      </c>
      <c r="C854" t="s">
        <v>2178</v>
      </c>
      <c r="D854" t="s">
        <v>4446</v>
      </c>
      <c r="E854" t="str">
        <f xml:space="preserve"> "ACERO" &amp;  CHAR(153) &amp; ""</f>
        <v>ACERO™</v>
      </c>
      <c r="F854" t="s">
        <v>2113</v>
      </c>
      <c r="G854">
        <v>1</v>
      </c>
      <c r="H854">
        <v>1</v>
      </c>
      <c r="I854" t="s">
        <v>97</v>
      </c>
      <c r="J854" s="32">
        <v>234.95</v>
      </c>
      <c r="K854" s="32">
        <v>704.85</v>
      </c>
      <c r="L854">
        <v>0</v>
      </c>
      <c r="N854">
        <v>0</v>
      </c>
      <c r="Q854" t="s">
        <v>291</v>
      </c>
      <c r="R854" s="32">
        <v>429.95</v>
      </c>
      <c r="S854">
        <v>13.25</v>
      </c>
      <c r="T854">
        <v>52</v>
      </c>
      <c r="U854">
        <v>52</v>
      </c>
      <c r="W854">
        <v>24.25</v>
      </c>
      <c r="X854">
        <v>1</v>
      </c>
      <c r="Y854">
        <v>10.25</v>
      </c>
      <c r="Z854">
        <v>27.25</v>
      </c>
      <c r="AA854">
        <v>15</v>
      </c>
      <c r="AB854">
        <v>2.4249999999999998</v>
      </c>
      <c r="AC854">
        <v>26.46</v>
      </c>
      <c r="AE854">
        <v>1</v>
      </c>
      <c r="AF854" t="s">
        <v>2186</v>
      </c>
      <c r="AG854">
        <v>100</v>
      </c>
      <c r="AK854" t="s">
        <v>291</v>
      </c>
      <c r="AM854" t="s">
        <v>98</v>
      </c>
      <c r="AN854" t="s">
        <v>98</v>
      </c>
      <c r="AO854" t="s">
        <v>291</v>
      </c>
      <c r="AP854" t="s">
        <v>99</v>
      </c>
      <c r="AQ854" t="s">
        <v>102</v>
      </c>
      <c r="AV854" t="s">
        <v>98</v>
      </c>
      <c r="AX854" t="s">
        <v>257</v>
      </c>
      <c r="AZ854" t="s">
        <v>2180</v>
      </c>
      <c r="BB854" t="s">
        <v>54</v>
      </c>
      <c r="BC854" t="s">
        <v>2770</v>
      </c>
      <c r="BF854" t="s">
        <v>2771</v>
      </c>
      <c r="BG854" t="s">
        <v>98</v>
      </c>
      <c r="BH854" t="s">
        <v>98</v>
      </c>
      <c r="BI854" t="s">
        <v>98</v>
      </c>
      <c r="BK854" t="s">
        <v>138</v>
      </c>
      <c r="BU854">
        <v>6</v>
      </c>
      <c r="BW854">
        <v>0.75</v>
      </c>
      <c r="BX854" t="s">
        <v>2218</v>
      </c>
      <c r="BY854" t="s">
        <v>291</v>
      </c>
      <c r="BZ854" t="s">
        <v>441</v>
      </c>
      <c r="CA854" t="s">
        <v>2762</v>
      </c>
      <c r="CB854" t="s">
        <v>257</v>
      </c>
      <c r="CC854">
        <v>181</v>
      </c>
      <c r="CD854">
        <v>0.57999999999999996</v>
      </c>
      <c r="CE854">
        <v>69</v>
      </c>
      <c r="CF854">
        <v>6465</v>
      </c>
      <c r="CL854" t="s">
        <v>291</v>
      </c>
      <c r="CM854" t="s">
        <v>291</v>
      </c>
      <c r="CN854" t="s">
        <v>2189</v>
      </c>
      <c r="CO854" s="1">
        <v>40478</v>
      </c>
      <c r="CP854" s="1">
        <v>43595</v>
      </c>
    </row>
    <row r="855" spans="1:94" x14ac:dyDescent="0.25">
      <c r="A855" s="4" t="s">
        <v>2772</v>
      </c>
      <c r="B855" t="str">
        <f xml:space="preserve"> "" &amp; 706411008979</f>
        <v>706411008979</v>
      </c>
      <c r="C855" t="s">
        <v>2178</v>
      </c>
      <c r="D855" t="s">
        <v>4480</v>
      </c>
      <c r="E855" t="str">
        <f xml:space="preserve"> "GYRO" &amp;  CHAR(153) &amp; ""</f>
        <v>GYRO™</v>
      </c>
      <c r="F855" t="s">
        <v>2113</v>
      </c>
      <c r="G855">
        <v>1</v>
      </c>
      <c r="H855">
        <v>1</v>
      </c>
      <c r="I855" t="s">
        <v>97</v>
      </c>
      <c r="J855" s="32">
        <v>359.95</v>
      </c>
      <c r="K855" s="32">
        <v>1079.8499999999999</v>
      </c>
      <c r="L855">
        <v>0</v>
      </c>
      <c r="N855">
        <v>0</v>
      </c>
      <c r="Q855" t="s">
        <v>291</v>
      </c>
      <c r="R855" s="32">
        <v>629.95000000000005</v>
      </c>
      <c r="S855">
        <v>13.75</v>
      </c>
      <c r="T855">
        <v>42</v>
      </c>
      <c r="U855">
        <v>42</v>
      </c>
      <c r="W855">
        <v>30.82</v>
      </c>
      <c r="X855">
        <v>1</v>
      </c>
      <c r="Y855">
        <v>12.88</v>
      </c>
      <c r="Z855">
        <v>44.75</v>
      </c>
      <c r="AA855">
        <v>18</v>
      </c>
      <c r="AB855">
        <v>6.0039999999999996</v>
      </c>
      <c r="AC855">
        <v>39.9</v>
      </c>
      <c r="AE855">
        <v>1</v>
      </c>
      <c r="AF855" t="s">
        <v>2598</v>
      </c>
      <c r="AG855">
        <v>100</v>
      </c>
      <c r="AK855" t="s">
        <v>291</v>
      </c>
      <c r="AM855" t="s">
        <v>98</v>
      </c>
      <c r="AN855" t="s">
        <v>98</v>
      </c>
      <c r="AO855" t="s">
        <v>291</v>
      </c>
      <c r="AP855" t="s">
        <v>99</v>
      </c>
      <c r="AQ855" t="s">
        <v>102</v>
      </c>
      <c r="AV855" t="s">
        <v>98</v>
      </c>
      <c r="AX855" t="s">
        <v>2773</v>
      </c>
      <c r="AZ855" t="s">
        <v>2180</v>
      </c>
      <c r="BB855" t="s">
        <v>54</v>
      </c>
      <c r="BC855" t="s">
        <v>2181</v>
      </c>
      <c r="BF855" t="s">
        <v>2774</v>
      </c>
      <c r="BG855" t="s">
        <v>98</v>
      </c>
      <c r="BH855" t="s">
        <v>98</v>
      </c>
      <c r="BI855" t="s">
        <v>98</v>
      </c>
      <c r="BK855" t="s">
        <v>138</v>
      </c>
      <c r="BU855">
        <v>6</v>
      </c>
      <c r="BW855">
        <v>0.75</v>
      </c>
      <c r="BX855" t="s">
        <v>2188</v>
      </c>
      <c r="BY855" t="s">
        <v>291</v>
      </c>
      <c r="BZ855" t="s">
        <v>2775</v>
      </c>
      <c r="CA855" t="s">
        <v>2776</v>
      </c>
      <c r="CB855" t="s">
        <v>2773</v>
      </c>
      <c r="CC855">
        <v>1350</v>
      </c>
      <c r="CD855">
        <v>0.84</v>
      </c>
      <c r="CE855">
        <v>102</v>
      </c>
      <c r="CF855">
        <v>5050</v>
      </c>
      <c r="CL855" t="s">
        <v>291</v>
      </c>
      <c r="CM855" t="s">
        <v>98</v>
      </c>
      <c r="CN855" t="s">
        <v>2156</v>
      </c>
      <c r="CO855" s="1">
        <v>39006</v>
      </c>
      <c r="CP855" s="1">
        <v>43595</v>
      </c>
    </row>
    <row r="856" spans="1:94" x14ac:dyDescent="0.25">
      <c r="A856" s="4" t="s">
        <v>2777</v>
      </c>
      <c r="B856" t="str">
        <f xml:space="preserve"> "" &amp; 706411019128</f>
        <v>706411019128</v>
      </c>
      <c r="C856" t="s">
        <v>2178</v>
      </c>
      <c r="D856" t="s">
        <v>4480</v>
      </c>
      <c r="E856" t="str">
        <f xml:space="preserve"> "GYRO" &amp;  CHAR(153) &amp; ""</f>
        <v>GYRO™</v>
      </c>
      <c r="F856" t="s">
        <v>2113</v>
      </c>
      <c r="G856">
        <v>1</v>
      </c>
      <c r="H856">
        <v>1</v>
      </c>
      <c r="I856" t="s">
        <v>97</v>
      </c>
      <c r="J856" s="32">
        <v>359.95</v>
      </c>
      <c r="K856" s="32">
        <v>1079.8499999999999</v>
      </c>
      <c r="L856">
        <v>0</v>
      </c>
      <c r="N856">
        <v>0</v>
      </c>
      <c r="Q856" t="s">
        <v>291</v>
      </c>
      <c r="R856" s="32">
        <v>629.95000000000005</v>
      </c>
      <c r="S856">
        <v>13.75</v>
      </c>
      <c r="T856">
        <v>42</v>
      </c>
      <c r="U856">
        <v>42</v>
      </c>
      <c r="W856">
        <v>32.76</v>
      </c>
      <c r="X856">
        <v>1</v>
      </c>
      <c r="Y856">
        <v>14</v>
      </c>
      <c r="Z856">
        <v>44.75</v>
      </c>
      <c r="AA856">
        <v>18</v>
      </c>
      <c r="AB856">
        <v>6.5259999999999998</v>
      </c>
      <c r="AC856">
        <v>40.92</v>
      </c>
      <c r="AE856">
        <v>1</v>
      </c>
      <c r="AF856" t="s">
        <v>2598</v>
      </c>
      <c r="AG856">
        <v>100</v>
      </c>
      <c r="AK856" t="s">
        <v>291</v>
      </c>
      <c r="AM856" t="s">
        <v>98</v>
      </c>
      <c r="AN856" t="s">
        <v>98</v>
      </c>
      <c r="AO856" t="s">
        <v>291</v>
      </c>
      <c r="AP856" t="s">
        <v>99</v>
      </c>
      <c r="AQ856" t="s">
        <v>102</v>
      </c>
      <c r="AV856" t="s">
        <v>98</v>
      </c>
      <c r="AX856" t="s">
        <v>426</v>
      </c>
      <c r="AZ856" t="s">
        <v>2180</v>
      </c>
      <c r="BB856" t="s">
        <v>54</v>
      </c>
      <c r="BC856" t="s">
        <v>2181</v>
      </c>
      <c r="BF856" t="s">
        <v>2778</v>
      </c>
      <c r="BG856" t="s">
        <v>98</v>
      </c>
      <c r="BH856" t="s">
        <v>98</v>
      </c>
      <c r="BI856" t="s">
        <v>98</v>
      </c>
      <c r="BK856" t="s">
        <v>138</v>
      </c>
      <c r="BU856">
        <v>6</v>
      </c>
      <c r="BW856">
        <v>0.75</v>
      </c>
      <c r="BX856" t="s">
        <v>2188</v>
      </c>
      <c r="BY856" t="s">
        <v>291</v>
      </c>
      <c r="BZ856" t="s">
        <v>426</v>
      </c>
      <c r="CA856" t="s">
        <v>2776</v>
      </c>
      <c r="CB856" t="s">
        <v>426</v>
      </c>
      <c r="CC856">
        <v>1350</v>
      </c>
      <c r="CD856">
        <v>0.84</v>
      </c>
      <c r="CE856">
        <v>102</v>
      </c>
      <c r="CF856">
        <v>5050</v>
      </c>
      <c r="CL856" t="s">
        <v>291</v>
      </c>
      <c r="CM856" t="s">
        <v>98</v>
      </c>
      <c r="CN856" t="s">
        <v>2156</v>
      </c>
      <c r="CO856" s="1">
        <v>38626</v>
      </c>
      <c r="CP856" s="1">
        <v>43595</v>
      </c>
    </row>
    <row r="857" spans="1:94" x14ac:dyDescent="0.25">
      <c r="A857" s="4" t="s">
        <v>2779</v>
      </c>
      <c r="B857" t="str">
        <f xml:space="preserve"> "" &amp; 706411008993</f>
        <v>706411008993</v>
      </c>
      <c r="C857" t="s">
        <v>2678</v>
      </c>
      <c r="D857" t="s">
        <v>4459</v>
      </c>
      <c r="E857" t="str">
        <f xml:space="preserve"> "COMO" &amp;  CHAR(153) &amp; ""</f>
        <v>COMO™</v>
      </c>
      <c r="F857" t="s">
        <v>2113</v>
      </c>
      <c r="G857">
        <v>1</v>
      </c>
      <c r="H857">
        <v>1</v>
      </c>
      <c r="I857" t="s">
        <v>97</v>
      </c>
      <c r="J857" s="32">
        <v>249.95</v>
      </c>
      <c r="K857" s="32">
        <v>749.85</v>
      </c>
      <c r="L857">
        <v>0</v>
      </c>
      <c r="N857">
        <v>0</v>
      </c>
      <c r="Q857" t="s">
        <v>291</v>
      </c>
      <c r="R857" s="32">
        <v>429.95</v>
      </c>
      <c r="S857">
        <v>15.75</v>
      </c>
      <c r="T857">
        <v>54</v>
      </c>
      <c r="U857">
        <v>54</v>
      </c>
      <c r="W857">
        <v>27.34</v>
      </c>
      <c r="X857">
        <v>1</v>
      </c>
      <c r="Y857">
        <v>16</v>
      </c>
      <c r="Z857">
        <v>24.63</v>
      </c>
      <c r="AA857">
        <v>16</v>
      </c>
      <c r="AB857">
        <v>3.649</v>
      </c>
      <c r="AC857">
        <v>33.07</v>
      </c>
      <c r="AE857">
        <v>2</v>
      </c>
      <c r="AF857" t="s">
        <v>2598</v>
      </c>
      <c r="AG857">
        <v>75</v>
      </c>
      <c r="AK857" t="s">
        <v>291</v>
      </c>
      <c r="AM857" t="s">
        <v>98</v>
      </c>
      <c r="AN857" t="s">
        <v>98</v>
      </c>
      <c r="AO857" t="s">
        <v>291</v>
      </c>
      <c r="AP857" t="s">
        <v>99</v>
      </c>
      <c r="AQ857" t="s">
        <v>102</v>
      </c>
      <c r="AV857" t="s">
        <v>98</v>
      </c>
      <c r="AX857" t="s">
        <v>150</v>
      </c>
      <c r="AZ857" t="s">
        <v>2180</v>
      </c>
      <c r="BB857" t="s">
        <v>54</v>
      </c>
      <c r="BC857" t="s">
        <v>2780</v>
      </c>
      <c r="BF857" t="s">
        <v>2781</v>
      </c>
      <c r="BG857" t="s">
        <v>98</v>
      </c>
      <c r="BH857" t="s">
        <v>98</v>
      </c>
      <c r="BI857" t="s">
        <v>98</v>
      </c>
      <c r="BK857" t="s">
        <v>138</v>
      </c>
      <c r="BU857">
        <v>6</v>
      </c>
      <c r="BW857">
        <v>0.75</v>
      </c>
      <c r="BX857" t="s">
        <v>2218</v>
      </c>
      <c r="BY857" t="s">
        <v>291</v>
      </c>
      <c r="BZ857" t="s">
        <v>441</v>
      </c>
      <c r="CA857" t="s">
        <v>2782</v>
      </c>
      <c r="CB857" t="s">
        <v>150</v>
      </c>
      <c r="CC857">
        <v>197</v>
      </c>
      <c r="CD857">
        <v>0.75800000000000001</v>
      </c>
      <c r="CE857">
        <v>91</v>
      </c>
      <c r="CF857">
        <v>5333</v>
      </c>
      <c r="CL857" t="s">
        <v>291</v>
      </c>
      <c r="CM857" t="s">
        <v>291</v>
      </c>
      <c r="CN857" t="s">
        <v>2783</v>
      </c>
      <c r="CO857" s="1">
        <v>39314</v>
      </c>
      <c r="CP857" s="1">
        <v>43595</v>
      </c>
    </row>
    <row r="858" spans="1:94" x14ac:dyDescent="0.25">
      <c r="A858" s="4" t="s">
        <v>2784</v>
      </c>
      <c r="B858" t="str">
        <f xml:space="preserve"> "" &amp; 706411031380</f>
        <v>706411031380</v>
      </c>
      <c r="C858" t="s">
        <v>2178</v>
      </c>
      <c r="D858" t="s">
        <v>4459</v>
      </c>
      <c r="E858" t="str">
        <f xml:space="preserve"> "COMO" &amp;  CHAR(153) &amp; ""</f>
        <v>COMO™</v>
      </c>
      <c r="F858" t="s">
        <v>2113</v>
      </c>
      <c r="G858">
        <v>1</v>
      </c>
      <c r="H858">
        <v>1</v>
      </c>
      <c r="I858" t="s">
        <v>97</v>
      </c>
      <c r="J858" s="32">
        <v>249.95</v>
      </c>
      <c r="K858" s="32">
        <v>749.85</v>
      </c>
      <c r="L858">
        <v>0</v>
      </c>
      <c r="N858">
        <v>0</v>
      </c>
      <c r="Q858" t="s">
        <v>291</v>
      </c>
      <c r="R858" s="32">
        <v>429.95</v>
      </c>
      <c r="S858">
        <v>15.75</v>
      </c>
      <c r="T858">
        <v>54</v>
      </c>
      <c r="U858">
        <v>54</v>
      </c>
      <c r="W858">
        <v>27.34</v>
      </c>
      <c r="X858">
        <v>1</v>
      </c>
      <c r="Y858">
        <v>16</v>
      </c>
      <c r="Z858">
        <v>24.625</v>
      </c>
      <c r="AA858">
        <v>16</v>
      </c>
      <c r="AB858">
        <v>3.6480000000000001</v>
      </c>
      <c r="AC858">
        <v>33.07</v>
      </c>
      <c r="AE858">
        <v>2</v>
      </c>
      <c r="AF858" t="s">
        <v>2598</v>
      </c>
      <c r="AG858">
        <v>75</v>
      </c>
      <c r="AK858" t="s">
        <v>291</v>
      </c>
      <c r="AM858" t="s">
        <v>98</v>
      </c>
      <c r="AN858" t="s">
        <v>98</v>
      </c>
      <c r="AO858" t="s">
        <v>291</v>
      </c>
      <c r="AP858" t="s">
        <v>99</v>
      </c>
      <c r="AQ858" t="s">
        <v>102</v>
      </c>
      <c r="AV858" t="s">
        <v>98</v>
      </c>
      <c r="AX858" t="s">
        <v>245</v>
      </c>
      <c r="AZ858" t="s">
        <v>2180</v>
      </c>
      <c r="BB858" t="s">
        <v>54</v>
      </c>
      <c r="BC858" t="s">
        <v>2780</v>
      </c>
      <c r="BF858" t="s">
        <v>2785</v>
      </c>
      <c r="BG858" t="s">
        <v>98</v>
      </c>
      <c r="BH858" t="s">
        <v>98</v>
      </c>
      <c r="BI858" t="s">
        <v>98</v>
      </c>
      <c r="BK858" t="s">
        <v>138</v>
      </c>
      <c r="BU858">
        <v>6</v>
      </c>
      <c r="BW858">
        <v>0.75</v>
      </c>
      <c r="BX858" t="s">
        <v>2218</v>
      </c>
      <c r="BY858" t="s">
        <v>291</v>
      </c>
      <c r="BZ858" t="s">
        <v>2786</v>
      </c>
      <c r="CA858" t="s">
        <v>2782</v>
      </c>
      <c r="CB858" t="s">
        <v>245</v>
      </c>
      <c r="CC858">
        <v>182</v>
      </c>
      <c r="CD858">
        <v>0.77</v>
      </c>
      <c r="CE858">
        <v>92.25</v>
      </c>
      <c r="CF858">
        <v>6761</v>
      </c>
      <c r="CL858" t="s">
        <v>291</v>
      </c>
      <c r="CM858" t="s">
        <v>291</v>
      </c>
      <c r="CN858" t="s">
        <v>2783</v>
      </c>
      <c r="CO858" s="1">
        <v>39314</v>
      </c>
      <c r="CP858" s="1">
        <v>43595</v>
      </c>
    </row>
    <row r="859" spans="1:94" x14ac:dyDescent="0.25">
      <c r="A859" s="4" t="s">
        <v>2787</v>
      </c>
      <c r="B859" t="str">
        <f xml:space="preserve"> "" &amp; 706411009006</f>
        <v>706411009006</v>
      </c>
      <c r="C859" t="s">
        <v>2178</v>
      </c>
      <c r="D859" t="s">
        <v>4459</v>
      </c>
      <c r="E859" t="str">
        <f xml:space="preserve"> "COMO" &amp;  CHAR(153) &amp; ""</f>
        <v>COMO™</v>
      </c>
      <c r="F859" t="s">
        <v>2113</v>
      </c>
      <c r="G859">
        <v>1</v>
      </c>
      <c r="H859">
        <v>1</v>
      </c>
      <c r="I859" t="s">
        <v>97</v>
      </c>
      <c r="J859" s="32">
        <v>249.95</v>
      </c>
      <c r="K859" s="32">
        <v>749.85</v>
      </c>
      <c r="L859">
        <v>0</v>
      </c>
      <c r="N859">
        <v>0</v>
      </c>
      <c r="Q859" t="s">
        <v>291</v>
      </c>
      <c r="R859" s="32">
        <v>429.95</v>
      </c>
      <c r="S859">
        <v>15.75</v>
      </c>
      <c r="T859">
        <v>54</v>
      </c>
      <c r="U859">
        <v>54</v>
      </c>
      <c r="W859">
        <v>27.34</v>
      </c>
      <c r="X859">
        <v>1</v>
      </c>
      <c r="Y859">
        <v>16</v>
      </c>
      <c r="Z859">
        <v>24.625</v>
      </c>
      <c r="AA859">
        <v>16</v>
      </c>
      <c r="AB859">
        <v>3.6480000000000001</v>
      </c>
      <c r="AC859">
        <v>33.07</v>
      </c>
      <c r="AE859">
        <v>2</v>
      </c>
      <c r="AF859" t="s">
        <v>2598</v>
      </c>
      <c r="AG859">
        <v>75</v>
      </c>
      <c r="AK859" t="s">
        <v>291</v>
      </c>
      <c r="AM859" t="s">
        <v>98</v>
      </c>
      <c r="AN859" t="s">
        <v>98</v>
      </c>
      <c r="AO859" t="s">
        <v>291</v>
      </c>
      <c r="AP859" t="s">
        <v>99</v>
      </c>
      <c r="AQ859" t="s">
        <v>102</v>
      </c>
      <c r="AV859" t="s">
        <v>98</v>
      </c>
      <c r="AX859" t="s">
        <v>302</v>
      </c>
      <c r="AZ859" t="s">
        <v>2180</v>
      </c>
      <c r="BB859" t="s">
        <v>54</v>
      </c>
      <c r="BC859" t="s">
        <v>2780</v>
      </c>
      <c r="BF859" t="s">
        <v>2788</v>
      </c>
      <c r="BG859" t="s">
        <v>98</v>
      </c>
      <c r="BH859" t="s">
        <v>98</v>
      </c>
      <c r="BI859" t="s">
        <v>98</v>
      </c>
      <c r="BK859" t="s">
        <v>138</v>
      </c>
      <c r="BU859">
        <v>6</v>
      </c>
      <c r="BW859">
        <v>0.75</v>
      </c>
      <c r="BX859" t="s">
        <v>2218</v>
      </c>
      <c r="BY859" t="s">
        <v>291</v>
      </c>
      <c r="BZ859" t="s">
        <v>302</v>
      </c>
      <c r="CA859" t="s">
        <v>2782</v>
      </c>
      <c r="CB859" t="s">
        <v>302</v>
      </c>
      <c r="CC859">
        <v>197</v>
      </c>
      <c r="CD859">
        <v>0.75800000000000001</v>
      </c>
      <c r="CE859">
        <v>91</v>
      </c>
      <c r="CF859">
        <v>5333</v>
      </c>
      <c r="CL859" t="s">
        <v>291</v>
      </c>
      <c r="CM859" t="s">
        <v>291</v>
      </c>
      <c r="CN859" t="s">
        <v>2783</v>
      </c>
      <c r="CO859" s="1">
        <v>39314</v>
      </c>
      <c r="CP859" s="1">
        <v>43595</v>
      </c>
    </row>
    <row r="860" spans="1:94" x14ac:dyDescent="0.25">
      <c r="A860" s="4" t="s">
        <v>2789</v>
      </c>
      <c r="B860" t="str">
        <f xml:space="preserve"> "" &amp; 706411056437</f>
        <v>706411056437</v>
      </c>
      <c r="C860" t="s">
        <v>2678</v>
      </c>
      <c r="D860" t="s">
        <v>2790</v>
      </c>
      <c r="E860" t="s">
        <v>2791</v>
      </c>
      <c r="F860" t="s">
        <v>2113</v>
      </c>
      <c r="G860">
        <v>1</v>
      </c>
      <c r="H860">
        <v>1</v>
      </c>
      <c r="I860" t="s">
        <v>97</v>
      </c>
      <c r="J860" s="32">
        <v>122.95</v>
      </c>
      <c r="K860" s="32">
        <v>368.85</v>
      </c>
      <c r="L860">
        <v>0</v>
      </c>
      <c r="N860">
        <v>0</v>
      </c>
      <c r="Q860" t="s">
        <v>291</v>
      </c>
      <c r="R860" s="32">
        <v>219.95</v>
      </c>
      <c r="S860">
        <v>16.5</v>
      </c>
      <c r="T860">
        <v>54</v>
      </c>
      <c r="U860">
        <v>54</v>
      </c>
      <c r="W860">
        <v>21.27</v>
      </c>
      <c r="X860">
        <v>1</v>
      </c>
      <c r="Y860">
        <v>11.25</v>
      </c>
      <c r="Z860">
        <v>21.375</v>
      </c>
      <c r="AA860">
        <v>15.5</v>
      </c>
      <c r="AB860">
        <v>2.157</v>
      </c>
      <c r="AC860">
        <v>24.14</v>
      </c>
      <c r="AK860" t="s">
        <v>98</v>
      </c>
      <c r="AM860" t="s">
        <v>98</v>
      </c>
      <c r="AN860" t="s">
        <v>98</v>
      </c>
      <c r="AO860" t="s">
        <v>291</v>
      </c>
      <c r="AP860" t="s">
        <v>99</v>
      </c>
      <c r="AQ860" t="s">
        <v>102</v>
      </c>
      <c r="AV860" t="s">
        <v>98</v>
      </c>
      <c r="AX860" t="s">
        <v>154</v>
      </c>
      <c r="AZ860" t="s">
        <v>109</v>
      </c>
      <c r="BF860" t="s">
        <v>2792</v>
      </c>
      <c r="BG860" t="s">
        <v>98</v>
      </c>
      <c r="BH860" t="s">
        <v>98</v>
      </c>
      <c r="BI860" t="s">
        <v>98</v>
      </c>
      <c r="BK860" t="s">
        <v>138</v>
      </c>
      <c r="BU860">
        <v>6</v>
      </c>
      <c r="BW860">
        <v>0.75</v>
      </c>
      <c r="BX860" t="s">
        <v>2206</v>
      </c>
      <c r="BZ860" t="s">
        <v>2463</v>
      </c>
      <c r="CA860" t="s">
        <v>2793</v>
      </c>
      <c r="CB860" t="s">
        <v>154</v>
      </c>
      <c r="CC860">
        <v>149</v>
      </c>
      <c r="CD860">
        <v>0.58099999999999996</v>
      </c>
      <c r="CE860">
        <v>69.27</v>
      </c>
      <c r="CF860">
        <v>4491</v>
      </c>
      <c r="CL860" t="s">
        <v>98</v>
      </c>
      <c r="CM860" t="s">
        <v>291</v>
      </c>
      <c r="CN860" t="s">
        <v>2794</v>
      </c>
      <c r="CO860" s="1">
        <v>42754</v>
      </c>
      <c r="CP860" s="1">
        <v>43595</v>
      </c>
    </row>
    <row r="861" spans="1:94" x14ac:dyDescent="0.25">
      <c r="A861" s="4" t="s">
        <v>2795</v>
      </c>
      <c r="B861" t="str">
        <f xml:space="preserve"> "" &amp; 706411038662</f>
        <v>706411038662</v>
      </c>
      <c r="C861" t="s">
        <v>2178</v>
      </c>
      <c r="D861" t="s">
        <v>2790</v>
      </c>
      <c r="E861" t="s">
        <v>2791</v>
      </c>
      <c r="F861" t="s">
        <v>2113</v>
      </c>
      <c r="G861">
        <v>1</v>
      </c>
      <c r="H861">
        <v>1</v>
      </c>
      <c r="I861" t="s">
        <v>97</v>
      </c>
      <c r="J861" s="32">
        <v>122.95</v>
      </c>
      <c r="K861" s="32">
        <v>368.85</v>
      </c>
      <c r="L861">
        <v>0</v>
      </c>
      <c r="N861">
        <v>0</v>
      </c>
      <c r="Q861" t="s">
        <v>291</v>
      </c>
      <c r="R861" s="32">
        <v>219.95</v>
      </c>
      <c r="S861">
        <v>16.5</v>
      </c>
      <c r="T861">
        <v>54</v>
      </c>
      <c r="U861">
        <v>54</v>
      </c>
      <c r="W861">
        <v>21.27</v>
      </c>
      <c r="X861">
        <v>1</v>
      </c>
      <c r="Y861">
        <v>11.25</v>
      </c>
      <c r="Z861">
        <v>21.38</v>
      </c>
      <c r="AA861">
        <v>15.5</v>
      </c>
      <c r="AB861">
        <v>2.157</v>
      </c>
      <c r="AC861">
        <v>24.14</v>
      </c>
      <c r="AK861" t="s">
        <v>98</v>
      </c>
      <c r="AM861" t="s">
        <v>98</v>
      </c>
      <c r="AN861" t="s">
        <v>98</v>
      </c>
      <c r="AO861" t="s">
        <v>291</v>
      </c>
      <c r="AP861" t="s">
        <v>99</v>
      </c>
      <c r="AQ861" t="s">
        <v>102</v>
      </c>
      <c r="AV861" t="s">
        <v>98</v>
      </c>
      <c r="AX861" t="s">
        <v>190</v>
      </c>
      <c r="AZ861" t="s">
        <v>2118</v>
      </c>
      <c r="BC861" t="s">
        <v>485</v>
      </c>
      <c r="BF861" t="s">
        <v>2796</v>
      </c>
      <c r="BG861" t="s">
        <v>98</v>
      </c>
      <c r="BH861" t="s">
        <v>98</v>
      </c>
      <c r="BI861" t="s">
        <v>98</v>
      </c>
      <c r="BK861" t="s">
        <v>138</v>
      </c>
      <c r="BU861">
        <v>6</v>
      </c>
      <c r="BW861">
        <v>0.75</v>
      </c>
      <c r="BX861" t="s">
        <v>2206</v>
      </c>
      <c r="BY861" t="s">
        <v>98</v>
      </c>
      <c r="BZ861" t="s">
        <v>2797</v>
      </c>
      <c r="CA861" t="s">
        <v>2793</v>
      </c>
      <c r="CB861" t="s">
        <v>190</v>
      </c>
      <c r="CC861">
        <v>149</v>
      </c>
      <c r="CD861">
        <v>0.58099999999999996</v>
      </c>
      <c r="CE861">
        <v>69.27</v>
      </c>
      <c r="CF861">
        <v>4491</v>
      </c>
      <c r="CL861" t="s">
        <v>98</v>
      </c>
      <c r="CM861" t="s">
        <v>291</v>
      </c>
      <c r="CN861" t="s">
        <v>2578</v>
      </c>
      <c r="CO861" s="1">
        <v>40250</v>
      </c>
      <c r="CP861" s="1">
        <v>43595</v>
      </c>
    </row>
    <row r="862" spans="1:94" x14ac:dyDescent="0.25">
      <c r="A862" s="4" t="s">
        <v>2798</v>
      </c>
      <c r="B862" t="str">
        <f xml:space="preserve"> "" &amp; 706411038709</f>
        <v>706411038709</v>
      </c>
      <c r="C862" t="s">
        <v>2178</v>
      </c>
      <c r="D862" t="s">
        <v>2790</v>
      </c>
      <c r="E862" t="s">
        <v>2791</v>
      </c>
      <c r="F862" t="s">
        <v>2113</v>
      </c>
      <c r="G862">
        <v>1</v>
      </c>
      <c r="H862">
        <v>1</v>
      </c>
      <c r="I862" t="s">
        <v>97</v>
      </c>
      <c r="J862" s="32">
        <v>122.95</v>
      </c>
      <c r="K862" s="32">
        <v>368.85</v>
      </c>
      <c r="L862">
        <v>0</v>
      </c>
      <c r="N862">
        <v>0</v>
      </c>
      <c r="Q862" t="s">
        <v>291</v>
      </c>
      <c r="R862" s="32">
        <v>219.95</v>
      </c>
      <c r="S862">
        <v>16.5</v>
      </c>
      <c r="T862">
        <v>54</v>
      </c>
      <c r="U862">
        <v>54</v>
      </c>
      <c r="W862">
        <v>21.27</v>
      </c>
      <c r="X862">
        <v>1</v>
      </c>
      <c r="Y862">
        <v>11.25</v>
      </c>
      <c r="Z862">
        <v>21.38</v>
      </c>
      <c r="AA862">
        <v>15.5</v>
      </c>
      <c r="AB862">
        <v>2.157</v>
      </c>
      <c r="AC862">
        <v>24.14</v>
      </c>
      <c r="AK862" t="s">
        <v>98</v>
      </c>
      <c r="AM862" t="s">
        <v>98</v>
      </c>
      <c r="AN862" t="s">
        <v>98</v>
      </c>
      <c r="AO862" t="s">
        <v>291</v>
      </c>
      <c r="AP862" t="s">
        <v>99</v>
      </c>
      <c r="AQ862" t="s">
        <v>102</v>
      </c>
      <c r="AV862" t="s">
        <v>98</v>
      </c>
      <c r="AX862" t="s">
        <v>201</v>
      </c>
      <c r="AZ862" t="s">
        <v>2118</v>
      </c>
      <c r="BC862" t="s">
        <v>485</v>
      </c>
      <c r="BF862" t="s">
        <v>2799</v>
      </c>
      <c r="BG862" t="s">
        <v>98</v>
      </c>
      <c r="BH862" t="s">
        <v>98</v>
      </c>
      <c r="BI862" t="s">
        <v>98</v>
      </c>
      <c r="BK862" t="s">
        <v>138</v>
      </c>
      <c r="BU862">
        <v>6</v>
      </c>
      <c r="BW862">
        <v>0.75</v>
      </c>
      <c r="BX862" t="s">
        <v>2206</v>
      </c>
      <c r="BY862" t="s">
        <v>98</v>
      </c>
      <c r="BZ862" t="s">
        <v>2159</v>
      </c>
      <c r="CA862" t="s">
        <v>2793</v>
      </c>
      <c r="CB862" t="s">
        <v>201</v>
      </c>
      <c r="CC862">
        <v>149</v>
      </c>
      <c r="CD862">
        <v>0.58099999999999996</v>
      </c>
      <c r="CE862">
        <v>69.27</v>
      </c>
      <c r="CF862">
        <v>4491</v>
      </c>
      <c r="CL862" t="s">
        <v>98</v>
      </c>
      <c r="CM862" t="s">
        <v>291</v>
      </c>
      <c r="CN862" t="s">
        <v>2578</v>
      </c>
      <c r="CO862" s="1">
        <v>40250</v>
      </c>
      <c r="CP862" s="1">
        <v>43595</v>
      </c>
    </row>
    <row r="863" spans="1:94" x14ac:dyDescent="0.25">
      <c r="A863" s="4" t="s">
        <v>2800</v>
      </c>
      <c r="B863" t="str">
        <f xml:space="preserve"> "" &amp; 706411056444</f>
        <v>706411056444</v>
      </c>
      <c r="C863" t="s">
        <v>2678</v>
      </c>
      <c r="D863" t="s">
        <v>2790</v>
      </c>
      <c r="E863" t="s">
        <v>2791</v>
      </c>
      <c r="F863" t="s">
        <v>2113</v>
      </c>
      <c r="G863">
        <v>1</v>
      </c>
      <c r="H863">
        <v>1</v>
      </c>
      <c r="I863" t="s">
        <v>97</v>
      </c>
      <c r="J863" s="32">
        <v>122.95</v>
      </c>
      <c r="K863" s="32">
        <v>368.85</v>
      </c>
      <c r="L863">
        <v>0</v>
      </c>
      <c r="N863">
        <v>0</v>
      </c>
      <c r="Q863" t="s">
        <v>291</v>
      </c>
      <c r="R863" s="32">
        <v>219.95</v>
      </c>
      <c r="S863">
        <v>16.5</v>
      </c>
      <c r="T863">
        <v>54</v>
      </c>
      <c r="U863">
        <v>54</v>
      </c>
      <c r="W863">
        <v>21.27</v>
      </c>
      <c r="X863">
        <v>1</v>
      </c>
      <c r="Y863">
        <v>11.25</v>
      </c>
      <c r="Z863">
        <v>21.375</v>
      </c>
      <c r="AA863">
        <v>15.5</v>
      </c>
      <c r="AB863">
        <v>2.157</v>
      </c>
      <c r="AC863">
        <v>24.14</v>
      </c>
      <c r="AK863" t="s">
        <v>98</v>
      </c>
      <c r="AM863" t="s">
        <v>98</v>
      </c>
      <c r="AN863" t="s">
        <v>98</v>
      </c>
      <c r="AO863" t="s">
        <v>291</v>
      </c>
      <c r="AP863" t="s">
        <v>99</v>
      </c>
      <c r="AQ863" t="s">
        <v>102</v>
      </c>
      <c r="AV863" t="s">
        <v>98</v>
      </c>
      <c r="AX863" t="s">
        <v>209</v>
      </c>
      <c r="AZ863" t="s">
        <v>109</v>
      </c>
      <c r="BF863" t="s">
        <v>2801</v>
      </c>
      <c r="BG863" t="s">
        <v>98</v>
      </c>
      <c r="BH863" t="s">
        <v>98</v>
      </c>
      <c r="BI863" t="s">
        <v>98</v>
      </c>
      <c r="BK863" t="s">
        <v>138</v>
      </c>
      <c r="BU863">
        <v>6</v>
      </c>
      <c r="BW863">
        <v>0.75</v>
      </c>
      <c r="BX863" t="s">
        <v>2206</v>
      </c>
      <c r="BZ863" t="s">
        <v>2466</v>
      </c>
      <c r="CA863" t="s">
        <v>2793</v>
      </c>
      <c r="CB863" t="s">
        <v>209</v>
      </c>
      <c r="CC863">
        <v>149</v>
      </c>
      <c r="CD863">
        <v>0.58099999999999996</v>
      </c>
      <c r="CE863">
        <v>69.27</v>
      </c>
      <c r="CF863">
        <v>4491</v>
      </c>
      <c r="CL863" t="s">
        <v>98</v>
      </c>
      <c r="CM863" t="s">
        <v>291</v>
      </c>
      <c r="CN863" t="s">
        <v>2578</v>
      </c>
      <c r="CO863" s="1">
        <v>42755</v>
      </c>
      <c r="CP863" s="1">
        <v>43595</v>
      </c>
    </row>
    <row r="864" spans="1:94" x14ac:dyDescent="0.25">
      <c r="A864" s="4" t="s">
        <v>2802</v>
      </c>
      <c r="B864" t="str">
        <f xml:space="preserve"> "" &amp; 706411040092</f>
        <v>706411040092</v>
      </c>
      <c r="C864" t="s">
        <v>2178</v>
      </c>
      <c r="D864" t="s">
        <v>2790</v>
      </c>
      <c r="E864" t="s">
        <v>2791</v>
      </c>
      <c r="F864" t="s">
        <v>2113</v>
      </c>
      <c r="G864">
        <v>1</v>
      </c>
      <c r="H864">
        <v>1</v>
      </c>
      <c r="I864" t="s">
        <v>97</v>
      </c>
      <c r="J864" s="32">
        <v>122.95</v>
      </c>
      <c r="K864" s="32">
        <v>368.85</v>
      </c>
      <c r="L864">
        <v>0</v>
      </c>
      <c r="N864">
        <v>0</v>
      </c>
      <c r="Q864" t="s">
        <v>291</v>
      </c>
      <c r="R864" s="32">
        <v>219.95</v>
      </c>
      <c r="S864">
        <v>16.5</v>
      </c>
      <c r="T864">
        <v>54</v>
      </c>
      <c r="U864">
        <v>54</v>
      </c>
      <c r="W864">
        <v>21.27</v>
      </c>
      <c r="X864">
        <v>1</v>
      </c>
      <c r="Y864">
        <v>11.25</v>
      </c>
      <c r="Z864">
        <v>21.375</v>
      </c>
      <c r="AA864">
        <v>15.5</v>
      </c>
      <c r="AB864">
        <v>2.157</v>
      </c>
      <c r="AC864">
        <v>24.14</v>
      </c>
      <c r="AK864" t="s">
        <v>98</v>
      </c>
      <c r="AM864" t="s">
        <v>98</v>
      </c>
      <c r="AN864" t="s">
        <v>98</v>
      </c>
      <c r="AO864" t="s">
        <v>291</v>
      </c>
      <c r="AP864" t="s">
        <v>99</v>
      </c>
      <c r="AQ864" t="s">
        <v>102</v>
      </c>
      <c r="AV864" t="s">
        <v>98</v>
      </c>
      <c r="AX864" t="s">
        <v>245</v>
      </c>
      <c r="AZ864" t="s">
        <v>2118</v>
      </c>
      <c r="BC864" t="s">
        <v>485</v>
      </c>
      <c r="BF864" t="s">
        <v>2803</v>
      </c>
      <c r="BG864" t="s">
        <v>98</v>
      </c>
      <c r="BH864" t="s">
        <v>98</v>
      </c>
      <c r="BI864" t="s">
        <v>98</v>
      </c>
      <c r="BK864" t="s">
        <v>138</v>
      </c>
      <c r="BU864">
        <v>6</v>
      </c>
      <c r="BW864">
        <v>0.75</v>
      </c>
      <c r="BX864" t="s">
        <v>2218</v>
      </c>
      <c r="BY864" t="s">
        <v>98</v>
      </c>
      <c r="BZ864" t="s">
        <v>2159</v>
      </c>
      <c r="CA864" t="s">
        <v>2793</v>
      </c>
      <c r="CB864" t="s">
        <v>245</v>
      </c>
      <c r="CC864">
        <v>149</v>
      </c>
      <c r="CD864">
        <v>0.58099999999999996</v>
      </c>
      <c r="CE864">
        <v>69.27</v>
      </c>
      <c r="CF864">
        <v>4491</v>
      </c>
      <c r="CL864" t="s">
        <v>98</v>
      </c>
      <c r="CM864" t="s">
        <v>291</v>
      </c>
      <c r="CN864" t="s">
        <v>2578</v>
      </c>
      <c r="CO864" s="1">
        <v>40819</v>
      </c>
      <c r="CP864" s="1">
        <v>43595</v>
      </c>
    </row>
    <row r="865" spans="1:94" x14ac:dyDescent="0.25">
      <c r="A865" s="4" t="s">
        <v>2804</v>
      </c>
      <c r="B865" t="str">
        <f xml:space="preserve"> "" &amp; 706411038679</f>
        <v>706411038679</v>
      </c>
      <c r="C865" t="s">
        <v>2178</v>
      </c>
      <c r="D865" t="s">
        <v>2790</v>
      </c>
      <c r="E865" t="s">
        <v>2791</v>
      </c>
      <c r="F865" t="s">
        <v>2113</v>
      </c>
      <c r="G865">
        <v>1</v>
      </c>
      <c r="H865">
        <v>1</v>
      </c>
      <c r="I865" t="s">
        <v>97</v>
      </c>
      <c r="J865" s="32">
        <v>122.95</v>
      </c>
      <c r="K865" s="32">
        <v>368.85</v>
      </c>
      <c r="L865">
        <v>0</v>
      </c>
      <c r="N865">
        <v>0</v>
      </c>
      <c r="Q865" t="s">
        <v>291</v>
      </c>
      <c r="R865" s="32">
        <v>219.95</v>
      </c>
      <c r="S865">
        <v>16.5</v>
      </c>
      <c r="T865">
        <v>54</v>
      </c>
      <c r="U865">
        <v>54</v>
      </c>
      <c r="W865">
        <v>21.27</v>
      </c>
      <c r="X865">
        <v>1</v>
      </c>
      <c r="Y865">
        <v>11.25</v>
      </c>
      <c r="Z865">
        <v>21.375</v>
      </c>
      <c r="AA865">
        <v>15.5</v>
      </c>
      <c r="AB865">
        <v>2.157</v>
      </c>
      <c r="AC865">
        <v>24.14</v>
      </c>
      <c r="AK865" t="s">
        <v>98</v>
      </c>
      <c r="AM865" t="s">
        <v>98</v>
      </c>
      <c r="AN865" t="s">
        <v>98</v>
      </c>
      <c r="AO865" t="s">
        <v>291</v>
      </c>
      <c r="AP865" t="s">
        <v>99</v>
      </c>
      <c r="AQ865" t="s">
        <v>102</v>
      </c>
      <c r="AV865" t="s">
        <v>98</v>
      </c>
      <c r="AX865" t="s">
        <v>253</v>
      </c>
      <c r="AZ865" t="s">
        <v>2118</v>
      </c>
      <c r="BC865" t="s">
        <v>485</v>
      </c>
      <c r="BF865" t="s">
        <v>2805</v>
      </c>
      <c r="BG865" t="s">
        <v>98</v>
      </c>
      <c r="BH865" t="s">
        <v>98</v>
      </c>
      <c r="BI865" t="s">
        <v>98</v>
      </c>
      <c r="BK865" t="s">
        <v>138</v>
      </c>
      <c r="BU865">
        <v>6</v>
      </c>
      <c r="BW865">
        <v>0.75</v>
      </c>
      <c r="BX865" t="s">
        <v>2218</v>
      </c>
      <c r="BY865" t="s">
        <v>98</v>
      </c>
      <c r="BZ865" t="s">
        <v>2742</v>
      </c>
      <c r="CA865" t="s">
        <v>2793</v>
      </c>
      <c r="CB865" t="s">
        <v>253</v>
      </c>
      <c r="CC865">
        <v>149</v>
      </c>
      <c r="CD865">
        <v>0.58099999999999996</v>
      </c>
      <c r="CE865">
        <v>69.27</v>
      </c>
      <c r="CF865">
        <v>4491</v>
      </c>
      <c r="CL865" t="s">
        <v>98</v>
      </c>
      <c r="CM865" t="s">
        <v>291</v>
      </c>
      <c r="CN865" t="s">
        <v>2578</v>
      </c>
      <c r="CO865" s="1">
        <v>40250</v>
      </c>
      <c r="CP865" s="1">
        <v>43595</v>
      </c>
    </row>
    <row r="866" spans="1:94" x14ac:dyDescent="0.25">
      <c r="A866" s="4" t="s">
        <v>2806</v>
      </c>
      <c r="B866" t="str">
        <f xml:space="preserve"> "" &amp; 706411038693</f>
        <v>706411038693</v>
      </c>
      <c r="C866" t="s">
        <v>2178</v>
      </c>
      <c r="D866" t="s">
        <v>2790</v>
      </c>
      <c r="E866" t="s">
        <v>2791</v>
      </c>
      <c r="F866" t="s">
        <v>2113</v>
      </c>
      <c r="G866">
        <v>1</v>
      </c>
      <c r="H866">
        <v>1</v>
      </c>
      <c r="I866" t="s">
        <v>97</v>
      </c>
      <c r="J866" s="32">
        <v>122.95</v>
      </c>
      <c r="K866" s="32">
        <v>368.85</v>
      </c>
      <c r="L866">
        <v>0</v>
      </c>
      <c r="N866">
        <v>0</v>
      </c>
      <c r="Q866" t="s">
        <v>291</v>
      </c>
      <c r="R866" s="32">
        <v>219.95</v>
      </c>
      <c r="S866">
        <v>14</v>
      </c>
      <c r="T866">
        <v>54</v>
      </c>
      <c r="U866">
        <v>54</v>
      </c>
      <c r="W866">
        <v>21.27</v>
      </c>
      <c r="X866">
        <v>1</v>
      </c>
      <c r="Y866">
        <v>11.25</v>
      </c>
      <c r="Z866">
        <v>21.38</v>
      </c>
      <c r="AA866">
        <v>15.5</v>
      </c>
      <c r="AB866">
        <v>2.157</v>
      </c>
      <c r="AC866">
        <v>24.14</v>
      </c>
      <c r="AK866" t="s">
        <v>98</v>
      </c>
      <c r="AM866" t="s">
        <v>98</v>
      </c>
      <c r="AN866" t="s">
        <v>98</v>
      </c>
      <c r="AO866" t="s">
        <v>291</v>
      </c>
      <c r="AP866" t="s">
        <v>99</v>
      </c>
      <c r="AQ866" t="s">
        <v>102</v>
      </c>
      <c r="AV866" t="s">
        <v>98</v>
      </c>
      <c r="AX866" t="s">
        <v>261</v>
      </c>
      <c r="AZ866" t="s">
        <v>2118</v>
      </c>
      <c r="BC866" t="s">
        <v>485</v>
      </c>
      <c r="BF866" t="s">
        <v>2807</v>
      </c>
      <c r="BG866" t="s">
        <v>98</v>
      </c>
      <c r="BH866" t="s">
        <v>98</v>
      </c>
      <c r="BI866" t="s">
        <v>98</v>
      </c>
      <c r="BK866" t="s">
        <v>138</v>
      </c>
      <c r="BU866">
        <v>6</v>
      </c>
      <c r="BW866">
        <v>0.75</v>
      </c>
      <c r="BX866" t="s">
        <v>2218</v>
      </c>
      <c r="BY866" t="s">
        <v>98</v>
      </c>
      <c r="BZ866" t="s">
        <v>2254</v>
      </c>
      <c r="CA866" t="s">
        <v>2793</v>
      </c>
      <c r="CB866" t="s">
        <v>261</v>
      </c>
      <c r="CC866">
        <v>164</v>
      </c>
      <c r="CD866">
        <v>0.59</v>
      </c>
      <c r="CE866">
        <v>70.5</v>
      </c>
      <c r="CF866">
        <v>6257</v>
      </c>
      <c r="CL866" t="s">
        <v>98</v>
      </c>
      <c r="CM866" t="s">
        <v>291</v>
      </c>
      <c r="CO866" s="1">
        <v>40250</v>
      </c>
      <c r="CP866" s="1">
        <v>43595</v>
      </c>
    </row>
    <row r="867" spans="1:94" x14ac:dyDescent="0.25">
      <c r="A867" s="4" t="s">
        <v>2808</v>
      </c>
      <c r="B867" t="str">
        <f xml:space="preserve"> "" &amp; 706411054464</f>
        <v>706411054464</v>
      </c>
      <c r="C867" t="s">
        <v>2809</v>
      </c>
      <c r="D867" t="s">
        <v>2810</v>
      </c>
      <c r="E867" t="s">
        <v>2811</v>
      </c>
      <c r="F867" t="s">
        <v>2113</v>
      </c>
      <c r="G867">
        <v>1</v>
      </c>
      <c r="H867">
        <v>1</v>
      </c>
      <c r="I867" t="s">
        <v>97</v>
      </c>
      <c r="J867" s="32">
        <v>229.95</v>
      </c>
      <c r="K867" s="32">
        <v>689.85</v>
      </c>
      <c r="L867">
        <v>0</v>
      </c>
      <c r="N867">
        <v>0</v>
      </c>
      <c r="Q867" t="s">
        <v>291</v>
      </c>
      <c r="R867" s="32">
        <v>459.95</v>
      </c>
      <c r="S867">
        <v>11</v>
      </c>
      <c r="T867">
        <v>60</v>
      </c>
      <c r="U867">
        <v>60</v>
      </c>
      <c r="W867">
        <v>17.39</v>
      </c>
      <c r="X867">
        <v>1</v>
      </c>
      <c r="Y867">
        <v>9.5</v>
      </c>
      <c r="Z867">
        <v>30</v>
      </c>
      <c r="AA867">
        <v>12.63</v>
      </c>
      <c r="AB867">
        <v>2.0830000000000002</v>
      </c>
      <c r="AC867">
        <v>21.12</v>
      </c>
      <c r="AE867">
        <v>1</v>
      </c>
      <c r="AF867" t="s">
        <v>2128</v>
      </c>
      <c r="AG867">
        <v>16</v>
      </c>
      <c r="AK867" t="s">
        <v>291</v>
      </c>
      <c r="AM867" t="s">
        <v>98</v>
      </c>
      <c r="AN867" t="s">
        <v>291</v>
      </c>
      <c r="AO867" t="s">
        <v>98</v>
      </c>
      <c r="AP867" t="s">
        <v>99</v>
      </c>
      <c r="AQ867" t="s">
        <v>102</v>
      </c>
      <c r="AV867" t="s">
        <v>98</v>
      </c>
      <c r="AX867" t="s">
        <v>150</v>
      </c>
      <c r="AZ867" t="s">
        <v>2149</v>
      </c>
      <c r="BB867" t="s">
        <v>106</v>
      </c>
      <c r="BC867" t="s">
        <v>2339</v>
      </c>
      <c r="BF867" t="s">
        <v>2812</v>
      </c>
      <c r="BG867" t="s">
        <v>98</v>
      </c>
      <c r="BH867" t="s">
        <v>98</v>
      </c>
      <c r="BI867" t="s">
        <v>98</v>
      </c>
      <c r="BK867" t="s">
        <v>138</v>
      </c>
      <c r="BU867">
        <v>6</v>
      </c>
      <c r="BW867">
        <v>0.75</v>
      </c>
      <c r="BX867">
        <v>12</v>
      </c>
      <c r="BY867" t="s">
        <v>291</v>
      </c>
      <c r="BZ867" t="s">
        <v>441</v>
      </c>
      <c r="CA867" t="s">
        <v>2813</v>
      </c>
      <c r="CB867" t="s">
        <v>150</v>
      </c>
      <c r="CC867">
        <v>201</v>
      </c>
      <c r="CD867">
        <v>0.49</v>
      </c>
      <c r="CE867">
        <v>28.21</v>
      </c>
      <c r="CF867">
        <v>6188.04</v>
      </c>
      <c r="CG867">
        <v>3000</v>
      </c>
      <c r="CH867">
        <v>94</v>
      </c>
      <c r="CI867">
        <v>1201.5999999999999</v>
      </c>
      <c r="CJ867">
        <v>574.29999999999995</v>
      </c>
      <c r="CK867">
        <v>30000</v>
      </c>
      <c r="CL867" t="s">
        <v>291</v>
      </c>
      <c r="CM867" t="s">
        <v>291</v>
      </c>
      <c r="CN867" t="s">
        <v>2814</v>
      </c>
      <c r="CO867" s="1">
        <v>42509</v>
      </c>
      <c r="CP867" s="1">
        <v>43595</v>
      </c>
    </row>
    <row r="868" spans="1:94" x14ac:dyDescent="0.25">
      <c r="A868" s="4" t="s">
        <v>2815</v>
      </c>
      <c r="B868" t="str">
        <f xml:space="preserve"> "" &amp; 706411054488</f>
        <v>706411054488</v>
      </c>
      <c r="C868" t="s">
        <v>2809</v>
      </c>
      <c r="D868" t="s">
        <v>2810</v>
      </c>
      <c r="E868" t="s">
        <v>2811</v>
      </c>
      <c r="F868" t="s">
        <v>2113</v>
      </c>
      <c r="G868">
        <v>1</v>
      </c>
      <c r="H868">
        <v>1</v>
      </c>
      <c r="I868" t="s">
        <v>97</v>
      </c>
      <c r="J868" s="32">
        <v>229.95</v>
      </c>
      <c r="K868" s="32">
        <v>689.85</v>
      </c>
      <c r="L868">
        <v>0</v>
      </c>
      <c r="N868">
        <v>0</v>
      </c>
      <c r="Q868" t="s">
        <v>291</v>
      </c>
      <c r="R868" s="32">
        <v>459.95</v>
      </c>
      <c r="S868">
        <v>11</v>
      </c>
      <c r="T868">
        <v>60</v>
      </c>
      <c r="U868">
        <v>60</v>
      </c>
      <c r="W868">
        <v>17.39</v>
      </c>
      <c r="X868">
        <v>1</v>
      </c>
      <c r="Y868">
        <v>9.5</v>
      </c>
      <c r="Z868">
        <v>30</v>
      </c>
      <c r="AA868">
        <v>12.63</v>
      </c>
      <c r="AB868">
        <v>2.0830000000000002</v>
      </c>
      <c r="AC868">
        <v>21.12</v>
      </c>
      <c r="AE868">
        <v>1</v>
      </c>
      <c r="AF868" t="s">
        <v>2128</v>
      </c>
      <c r="AG868">
        <v>16</v>
      </c>
      <c r="AK868" t="s">
        <v>291</v>
      </c>
      <c r="AM868" t="s">
        <v>98</v>
      </c>
      <c r="AN868" t="s">
        <v>291</v>
      </c>
      <c r="AO868" t="s">
        <v>98</v>
      </c>
      <c r="AP868" t="s">
        <v>99</v>
      </c>
      <c r="AQ868" t="s">
        <v>102</v>
      </c>
      <c r="AV868" t="s">
        <v>98</v>
      </c>
      <c r="AX868" t="s">
        <v>371</v>
      </c>
      <c r="AZ868" t="s">
        <v>2149</v>
      </c>
      <c r="BB868" t="s">
        <v>106</v>
      </c>
      <c r="BC868" t="s">
        <v>2339</v>
      </c>
      <c r="BF868" t="s">
        <v>2816</v>
      </c>
      <c r="BG868" t="s">
        <v>98</v>
      </c>
      <c r="BH868" t="s">
        <v>98</v>
      </c>
      <c r="BI868" t="s">
        <v>98</v>
      </c>
      <c r="BK868" t="s">
        <v>138</v>
      </c>
      <c r="BU868">
        <v>6</v>
      </c>
      <c r="BW868">
        <v>0.75</v>
      </c>
      <c r="BX868">
        <v>14</v>
      </c>
      <c r="BY868" t="s">
        <v>291</v>
      </c>
      <c r="BZ868" t="s">
        <v>371</v>
      </c>
      <c r="CA868" t="s">
        <v>2813</v>
      </c>
      <c r="CB868" t="s">
        <v>371</v>
      </c>
      <c r="CC868">
        <v>201</v>
      </c>
      <c r="CD868">
        <v>0.49</v>
      </c>
      <c r="CE868">
        <v>28.21</v>
      </c>
      <c r="CF868">
        <v>6188.04</v>
      </c>
      <c r="CG868">
        <v>3000</v>
      </c>
      <c r="CH868">
        <v>94</v>
      </c>
      <c r="CI868">
        <v>1201.5999999999999</v>
      </c>
      <c r="CJ868">
        <v>574.29999999999995</v>
      </c>
      <c r="CK868">
        <v>30000</v>
      </c>
      <c r="CL868" t="s">
        <v>291</v>
      </c>
      <c r="CM868" t="s">
        <v>291</v>
      </c>
      <c r="CN868" t="s">
        <v>2814</v>
      </c>
      <c r="CO868" s="1">
        <v>42509</v>
      </c>
      <c r="CP868" s="1">
        <v>43595</v>
      </c>
    </row>
    <row r="869" spans="1:94" x14ac:dyDescent="0.25">
      <c r="A869" s="4" t="s">
        <v>2817</v>
      </c>
      <c r="B869" t="str">
        <f xml:space="preserve"> "" &amp; 706411054471</f>
        <v>706411054471</v>
      </c>
      <c r="C869" t="s">
        <v>2818</v>
      </c>
      <c r="D869" t="s">
        <v>2810</v>
      </c>
      <c r="E869" t="s">
        <v>2811</v>
      </c>
      <c r="F869" t="s">
        <v>2113</v>
      </c>
      <c r="G869">
        <v>1</v>
      </c>
      <c r="H869">
        <v>1</v>
      </c>
      <c r="I869" t="s">
        <v>97</v>
      </c>
      <c r="J869" s="32">
        <v>229.95</v>
      </c>
      <c r="K869" s="32">
        <v>689.85</v>
      </c>
      <c r="L869">
        <v>0</v>
      </c>
      <c r="N869">
        <v>0</v>
      </c>
      <c r="Q869" t="s">
        <v>291</v>
      </c>
      <c r="R869" s="32">
        <v>459.95</v>
      </c>
      <c r="S869">
        <v>11</v>
      </c>
      <c r="T869">
        <v>60</v>
      </c>
      <c r="U869">
        <v>60</v>
      </c>
      <c r="W869">
        <v>17.39</v>
      </c>
      <c r="X869">
        <v>1</v>
      </c>
      <c r="Y869">
        <v>9.5</v>
      </c>
      <c r="Z869">
        <v>30</v>
      </c>
      <c r="AA869">
        <v>12.63</v>
      </c>
      <c r="AB869">
        <v>2.0830000000000002</v>
      </c>
      <c r="AC869">
        <v>21.12</v>
      </c>
      <c r="AE869">
        <v>1</v>
      </c>
      <c r="AF869" t="s">
        <v>2128</v>
      </c>
      <c r="AG869">
        <v>16</v>
      </c>
      <c r="AK869" t="s">
        <v>291</v>
      </c>
      <c r="AM869" t="s">
        <v>98</v>
      </c>
      <c r="AN869" t="s">
        <v>291</v>
      </c>
      <c r="AO869" t="s">
        <v>98</v>
      </c>
      <c r="AP869" t="s">
        <v>99</v>
      </c>
      <c r="AQ869" t="s">
        <v>102</v>
      </c>
      <c r="AV869" t="s">
        <v>98</v>
      </c>
      <c r="AX869" t="s">
        <v>2819</v>
      </c>
      <c r="AZ869" t="s">
        <v>2149</v>
      </c>
      <c r="BB869" t="s">
        <v>106</v>
      </c>
      <c r="BC869" t="s">
        <v>2820</v>
      </c>
      <c r="BF869" t="s">
        <v>2821</v>
      </c>
      <c r="BG869" t="s">
        <v>98</v>
      </c>
      <c r="BH869" t="s">
        <v>98</v>
      </c>
      <c r="BI869" t="s">
        <v>98</v>
      </c>
      <c r="BK869" t="s">
        <v>138</v>
      </c>
      <c r="BU869">
        <v>6</v>
      </c>
      <c r="BW869">
        <v>0.75</v>
      </c>
      <c r="BX869">
        <v>12</v>
      </c>
      <c r="BY869" t="s">
        <v>291</v>
      </c>
      <c r="BZ869" t="s">
        <v>2786</v>
      </c>
      <c r="CA869" t="s">
        <v>2822</v>
      </c>
      <c r="CB869" t="s">
        <v>2819</v>
      </c>
      <c r="CC869">
        <v>201</v>
      </c>
      <c r="CD869">
        <v>0.49</v>
      </c>
      <c r="CE869">
        <v>28.21</v>
      </c>
      <c r="CF869">
        <v>6188.04</v>
      </c>
      <c r="CG869">
        <v>3000</v>
      </c>
      <c r="CH869">
        <v>96</v>
      </c>
      <c r="CI869">
        <v>1201.5999999999999</v>
      </c>
      <c r="CJ869">
        <v>304.60000000000002</v>
      </c>
      <c r="CK869">
        <v>30000</v>
      </c>
      <c r="CL869" t="s">
        <v>291</v>
      </c>
      <c r="CM869" t="s">
        <v>291</v>
      </c>
      <c r="CN869" t="s">
        <v>2814</v>
      </c>
      <c r="CO869" s="1">
        <v>42509</v>
      </c>
      <c r="CP869" s="1">
        <v>43595</v>
      </c>
    </row>
    <row r="870" spans="1:94" x14ac:dyDescent="0.25">
      <c r="A870" s="4" t="s">
        <v>2823</v>
      </c>
      <c r="B870" t="str">
        <f xml:space="preserve"> "" &amp; 706411031519</f>
        <v>706411031519</v>
      </c>
      <c r="C870" t="s">
        <v>2178</v>
      </c>
      <c r="D870" t="s">
        <v>4451</v>
      </c>
      <c r="E870" t="str">
        <f xml:space="preserve"> "BOLO" &amp;  CHAR(153) &amp; ""</f>
        <v>BOLO™</v>
      </c>
      <c r="F870" t="s">
        <v>2113</v>
      </c>
      <c r="G870">
        <v>1</v>
      </c>
      <c r="H870">
        <v>1</v>
      </c>
      <c r="I870" t="s">
        <v>97</v>
      </c>
      <c r="J870" s="32">
        <v>149.94999999999999</v>
      </c>
      <c r="K870" s="32">
        <v>449.85</v>
      </c>
      <c r="L870">
        <v>0</v>
      </c>
      <c r="N870">
        <v>0</v>
      </c>
      <c r="Q870" t="s">
        <v>291</v>
      </c>
      <c r="R870" s="32">
        <v>249.95</v>
      </c>
      <c r="S870">
        <v>20</v>
      </c>
      <c r="T870">
        <v>52</v>
      </c>
      <c r="U870">
        <v>52</v>
      </c>
      <c r="W870">
        <v>24.98</v>
      </c>
      <c r="X870">
        <v>1</v>
      </c>
      <c r="Y870">
        <v>11.38</v>
      </c>
      <c r="Z870">
        <v>28.38</v>
      </c>
      <c r="AA870">
        <v>15</v>
      </c>
      <c r="AB870">
        <v>2.8039999999999998</v>
      </c>
      <c r="AC870">
        <v>29.54</v>
      </c>
      <c r="AE870">
        <v>3</v>
      </c>
      <c r="AF870" t="s">
        <v>2343</v>
      </c>
      <c r="AG870">
        <v>60</v>
      </c>
      <c r="AK870" t="s">
        <v>291</v>
      </c>
      <c r="AM870" t="s">
        <v>98</v>
      </c>
      <c r="AN870" t="s">
        <v>98</v>
      </c>
      <c r="AO870" t="s">
        <v>291</v>
      </c>
      <c r="AP870" t="s">
        <v>99</v>
      </c>
      <c r="AQ870" t="s">
        <v>102</v>
      </c>
      <c r="AV870" t="s">
        <v>98</v>
      </c>
      <c r="AX870" t="s">
        <v>136</v>
      </c>
      <c r="AZ870" t="s">
        <v>2118</v>
      </c>
      <c r="BB870" t="s">
        <v>54</v>
      </c>
      <c r="BC870" t="s">
        <v>2527</v>
      </c>
      <c r="BF870" t="s">
        <v>2824</v>
      </c>
      <c r="BG870" t="s">
        <v>98</v>
      </c>
      <c r="BH870" t="s">
        <v>98</v>
      </c>
      <c r="BI870" t="s">
        <v>98</v>
      </c>
      <c r="BK870" t="s">
        <v>138</v>
      </c>
      <c r="BU870">
        <v>6</v>
      </c>
      <c r="BW870">
        <v>0.75</v>
      </c>
      <c r="BX870" t="s">
        <v>2218</v>
      </c>
      <c r="BY870" t="s">
        <v>291</v>
      </c>
      <c r="BZ870" t="s">
        <v>2456</v>
      </c>
      <c r="CA870" t="s">
        <v>2825</v>
      </c>
      <c r="CB870" t="s">
        <v>136</v>
      </c>
      <c r="CC870">
        <v>168</v>
      </c>
      <c r="CD870">
        <v>0.62</v>
      </c>
      <c r="CE870">
        <v>74</v>
      </c>
      <c r="CF870">
        <v>5712.25</v>
      </c>
      <c r="CL870" t="s">
        <v>291</v>
      </c>
      <c r="CM870" t="s">
        <v>98</v>
      </c>
      <c r="CO870" s="1">
        <v>38523</v>
      </c>
      <c r="CP870" s="1">
        <v>43595</v>
      </c>
    </row>
    <row r="871" spans="1:94" x14ac:dyDescent="0.25">
      <c r="A871" s="4" t="s">
        <v>2826</v>
      </c>
      <c r="B871" t="str">
        <f xml:space="preserve"> "" &amp; 706411033766</f>
        <v>706411033766</v>
      </c>
      <c r="C871" t="s">
        <v>2178</v>
      </c>
      <c r="D871" t="s">
        <v>4451</v>
      </c>
      <c r="E871" t="str">
        <f xml:space="preserve"> "BOLO" &amp;  CHAR(153) &amp; ""</f>
        <v>BOLO™</v>
      </c>
      <c r="F871" t="s">
        <v>2113</v>
      </c>
      <c r="G871">
        <v>1</v>
      </c>
      <c r="H871">
        <v>1</v>
      </c>
      <c r="I871" t="s">
        <v>97</v>
      </c>
      <c r="J871" s="32">
        <v>149.94999999999999</v>
      </c>
      <c r="K871" s="32">
        <v>449.85</v>
      </c>
      <c r="L871">
        <v>0</v>
      </c>
      <c r="N871">
        <v>0</v>
      </c>
      <c r="Q871" t="s">
        <v>291</v>
      </c>
      <c r="R871" s="32">
        <v>249.95</v>
      </c>
      <c r="S871">
        <v>20</v>
      </c>
      <c r="T871">
        <v>52</v>
      </c>
      <c r="U871">
        <v>52</v>
      </c>
      <c r="W871">
        <v>24.98</v>
      </c>
      <c r="X871">
        <v>1</v>
      </c>
      <c r="Y871">
        <v>11.38</v>
      </c>
      <c r="Z871">
        <v>28.38</v>
      </c>
      <c r="AA871">
        <v>15</v>
      </c>
      <c r="AB871">
        <v>2.8039999999999998</v>
      </c>
      <c r="AC871">
        <v>29.54</v>
      </c>
      <c r="AE871">
        <v>3</v>
      </c>
      <c r="AF871" t="s">
        <v>2827</v>
      </c>
      <c r="AG871">
        <v>60</v>
      </c>
      <c r="AK871" t="s">
        <v>291</v>
      </c>
      <c r="AM871" t="s">
        <v>98</v>
      </c>
      <c r="AN871" t="s">
        <v>98</v>
      </c>
      <c r="AO871" t="s">
        <v>291</v>
      </c>
      <c r="AP871" t="s">
        <v>99</v>
      </c>
      <c r="AQ871" t="s">
        <v>102</v>
      </c>
      <c r="AV871" t="s">
        <v>98</v>
      </c>
      <c r="AX871" t="s">
        <v>150</v>
      </c>
      <c r="AZ871" t="s">
        <v>2118</v>
      </c>
      <c r="BB871" t="s">
        <v>54</v>
      </c>
      <c r="BC871" t="s">
        <v>2828</v>
      </c>
      <c r="BF871" t="s">
        <v>2829</v>
      </c>
      <c r="BG871" t="s">
        <v>98</v>
      </c>
      <c r="BH871" t="s">
        <v>98</v>
      </c>
      <c r="BI871" t="s">
        <v>98</v>
      </c>
      <c r="BK871" t="s">
        <v>138</v>
      </c>
      <c r="BU871">
        <v>6</v>
      </c>
      <c r="BW871">
        <v>0.75</v>
      </c>
      <c r="BX871" t="s">
        <v>2218</v>
      </c>
      <c r="BY871" t="s">
        <v>291</v>
      </c>
      <c r="BZ871" t="s">
        <v>2456</v>
      </c>
      <c r="CA871" t="s">
        <v>2825</v>
      </c>
      <c r="CB871" t="s">
        <v>150</v>
      </c>
      <c r="CC871">
        <v>168</v>
      </c>
      <c r="CD871">
        <v>0.62</v>
      </c>
      <c r="CE871">
        <v>74</v>
      </c>
      <c r="CF871">
        <v>5712.25</v>
      </c>
      <c r="CL871" t="s">
        <v>291</v>
      </c>
      <c r="CM871" t="s">
        <v>98</v>
      </c>
      <c r="CO871" s="1">
        <v>39141</v>
      </c>
      <c r="CP871" s="1">
        <v>43595</v>
      </c>
    </row>
    <row r="872" spans="1:94" x14ac:dyDescent="0.25">
      <c r="A872" s="4" t="s">
        <v>2830</v>
      </c>
      <c r="B872" t="str">
        <f xml:space="preserve"> "" &amp; 706411040078</f>
        <v>706411040078</v>
      </c>
      <c r="C872" t="s">
        <v>2178</v>
      </c>
      <c r="D872" t="s">
        <v>4451</v>
      </c>
      <c r="E872" t="str">
        <f xml:space="preserve"> "BOLO" &amp;  CHAR(153) &amp; ""</f>
        <v>BOLO™</v>
      </c>
      <c r="F872" t="s">
        <v>2113</v>
      </c>
      <c r="G872">
        <v>1</v>
      </c>
      <c r="H872">
        <v>1</v>
      </c>
      <c r="I872" t="s">
        <v>97</v>
      </c>
      <c r="J872" s="32">
        <v>149.94999999999999</v>
      </c>
      <c r="K872" s="32">
        <v>449.85</v>
      </c>
      <c r="L872">
        <v>0</v>
      </c>
      <c r="N872">
        <v>0</v>
      </c>
      <c r="Q872" t="s">
        <v>291</v>
      </c>
      <c r="R872" s="32">
        <v>249.95</v>
      </c>
      <c r="S872">
        <v>20</v>
      </c>
      <c r="T872">
        <v>52</v>
      </c>
      <c r="U872">
        <v>52</v>
      </c>
      <c r="W872">
        <v>24.98</v>
      </c>
      <c r="X872">
        <v>1</v>
      </c>
      <c r="Y872">
        <v>11.38</v>
      </c>
      <c r="Z872">
        <v>28.38</v>
      </c>
      <c r="AA872">
        <v>15</v>
      </c>
      <c r="AB872">
        <v>2.8039999999999998</v>
      </c>
      <c r="AC872">
        <v>29.54</v>
      </c>
      <c r="AE872">
        <v>3</v>
      </c>
      <c r="AF872" t="s">
        <v>2343</v>
      </c>
      <c r="AG872">
        <v>60</v>
      </c>
      <c r="AK872" t="s">
        <v>291</v>
      </c>
      <c r="AM872" t="s">
        <v>98</v>
      </c>
      <c r="AN872" t="s">
        <v>98</v>
      </c>
      <c r="AO872" t="s">
        <v>291</v>
      </c>
      <c r="AP872" t="s">
        <v>99</v>
      </c>
      <c r="AQ872" t="s">
        <v>102</v>
      </c>
      <c r="AV872" t="s">
        <v>98</v>
      </c>
      <c r="AX872" t="s">
        <v>190</v>
      </c>
      <c r="AZ872" t="s">
        <v>2118</v>
      </c>
      <c r="BB872" t="s">
        <v>54</v>
      </c>
      <c r="BC872" t="s">
        <v>2831</v>
      </c>
      <c r="BF872" t="s">
        <v>2832</v>
      </c>
      <c r="BG872" t="s">
        <v>98</v>
      </c>
      <c r="BH872" t="s">
        <v>98</v>
      </c>
      <c r="BI872" t="s">
        <v>98</v>
      </c>
      <c r="BK872" t="s">
        <v>138</v>
      </c>
      <c r="BU872">
        <v>6</v>
      </c>
      <c r="BW872">
        <v>0.75</v>
      </c>
      <c r="BX872" t="s">
        <v>2218</v>
      </c>
      <c r="BY872" t="s">
        <v>291</v>
      </c>
      <c r="BZ872" t="s">
        <v>2742</v>
      </c>
      <c r="CA872" t="s">
        <v>2825</v>
      </c>
      <c r="CB872" t="s">
        <v>190</v>
      </c>
      <c r="CC872">
        <v>168</v>
      </c>
      <c r="CD872">
        <v>0.62</v>
      </c>
      <c r="CE872">
        <v>74</v>
      </c>
      <c r="CF872">
        <v>5712.25</v>
      </c>
      <c r="CL872" t="s">
        <v>291</v>
      </c>
      <c r="CM872" t="s">
        <v>98</v>
      </c>
      <c r="CO872" s="1">
        <v>40478</v>
      </c>
      <c r="CP872" s="1">
        <v>43595</v>
      </c>
    </row>
    <row r="873" spans="1:94" x14ac:dyDescent="0.25">
      <c r="A873" s="4" t="s">
        <v>2833</v>
      </c>
      <c r="B873" t="str">
        <f xml:space="preserve"> "" &amp; 706411034541</f>
        <v>706411034541</v>
      </c>
      <c r="C873" t="s">
        <v>2178</v>
      </c>
      <c r="D873" t="s">
        <v>4451</v>
      </c>
      <c r="E873" t="str">
        <f xml:space="preserve"> "BOLO" &amp;  CHAR(153) &amp; ""</f>
        <v>BOLO™</v>
      </c>
      <c r="F873" t="s">
        <v>2113</v>
      </c>
      <c r="G873">
        <v>1</v>
      </c>
      <c r="H873">
        <v>1</v>
      </c>
      <c r="I873" t="s">
        <v>97</v>
      </c>
      <c r="J873" s="32">
        <v>149.94999999999999</v>
      </c>
      <c r="K873" s="32">
        <v>449.85</v>
      </c>
      <c r="L873">
        <v>0</v>
      </c>
      <c r="N873">
        <v>0</v>
      </c>
      <c r="Q873" t="s">
        <v>291</v>
      </c>
      <c r="R873" s="32">
        <v>249.95</v>
      </c>
      <c r="S873">
        <v>20</v>
      </c>
      <c r="T873">
        <v>52</v>
      </c>
      <c r="U873">
        <v>52</v>
      </c>
      <c r="W873">
        <v>24.98</v>
      </c>
      <c r="X873">
        <v>1</v>
      </c>
      <c r="Y873">
        <v>11.38</v>
      </c>
      <c r="Z873">
        <v>28.38</v>
      </c>
      <c r="AA873">
        <v>15</v>
      </c>
      <c r="AB873">
        <v>2.8039999999999998</v>
      </c>
      <c r="AC873">
        <v>29.54</v>
      </c>
      <c r="AE873">
        <v>3</v>
      </c>
      <c r="AF873" t="s">
        <v>2343</v>
      </c>
      <c r="AG873">
        <v>60</v>
      </c>
      <c r="AK873" t="s">
        <v>291</v>
      </c>
      <c r="AM873" t="s">
        <v>98</v>
      </c>
      <c r="AN873" t="s">
        <v>98</v>
      </c>
      <c r="AO873" t="s">
        <v>291</v>
      </c>
      <c r="AP873" t="s">
        <v>99</v>
      </c>
      <c r="AQ873" t="s">
        <v>102</v>
      </c>
      <c r="AV873" t="s">
        <v>98</v>
      </c>
      <c r="AX873" t="s">
        <v>245</v>
      </c>
      <c r="AZ873" t="s">
        <v>2118</v>
      </c>
      <c r="BB873" t="s">
        <v>54</v>
      </c>
      <c r="BC873" t="s">
        <v>2527</v>
      </c>
      <c r="BF873" t="s">
        <v>2834</v>
      </c>
      <c r="BG873" t="s">
        <v>98</v>
      </c>
      <c r="BH873" t="s">
        <v>98</v>
      </c>
      <c r="BI873" t="s">
        <v>98</v>
      </c>
      <c r="BK873" t="s">
        <v>138</v>
      </c>
      <c r="BU873">
        <v>6</v>
      </c>
      <c r="BW873">
        <v>0.75</v>
      </c>
      <c r="BX873" t="s">
        <v>2218</v>
      </c>
      <c r="BY873" t="s">
        <v>291</v>
      </c>
      <c r="BZ873" t="s">
        <v>2159</v>
      </c>
      <c r="CA873" t="s">
        <v>2825</v>
      </c>
      <c r="CB873" t="s">
        <v>245</v>
      </c>
      <c r="CC873">
        <v>169</v>
      </c>
      <c r="CD873">
        <v>0.59</v>
      </c>
      <c r="CE873">
        <v>72</v>
      </c>
      <c r="CF873">
        <v>5700</v>
      </c>
      <c r="CL873" t="s">
        <v>291</v>
      </c>
      <c r="CM873" t="s">
        <v>98</v>
      </c>
      <c r="CO873" s="1">
        <v>39566</v>
      </c>
      <c r="CP873" s="1">
        <v>43595</v>
      </c>
    </row>
    <row r="874" spans="1:94" x14ac:dyDescent="0.25">
      <c r="A874" s="4" t="s">
        <v>2835</v>
      </c>
      <c r="B874" t="str">
        <f xml:space="preserve"> "" &amp; 706411052439</f>
        <v>706411052439</v>
      </c>
      <c r="C874" t="s">
        <v>2178</v>
      </c>
      <c r="D874" t="s">
        <v>2836</v>
      </c>
      <c r="E874" t="s">
        <v>2837</v>
      </c>
      <c r="F874" t="s">
        <v>2113</v>
      </c>
      <c r="G874">
        <v>1</v>
      </c>
      <c r="H874">
        <v>1</v>
      </c>
      <c r="I874" t="s">
        <v>97</v>
      </c>
      <c r="J874" s="32">
        <v>79.95</v>
      </c>
      <c r="K874" s="32">
        <v>239.85</v>
      </c>
      <c r="L874">
        <v>0</v>
      </c>
      <c r="N874">
        <v>0</v>
      </c>
      <c r="Q874" t="s">
        <v>291</v>
      </c>
      <c r="R874" s="32">
        <v>149.94999999999999</v>
      </c>
      <c r="S874">
        <v>15</v>
      </c>
      <c r="T874">
        <v>52</v>
      </c>
      <c r="U874">
        <v>52</v>
      </c>
      <c r="W874">
        <v>17.11</v>
      </c>
      <c r="X874">
        <v>1</v>
      </c>
      <c r="Y874">
        <v>10.5</v>
      </c>
      <c r="Z874">
        <v>22.75</v>
      </c>
      <c r="AA874">
        <v>13.25</v>
      </c>
      <c r="AB874">
        <v>1.8320000000000001</v>
      </c>
      <c r="AC874">
        <v>20.39</v>
      </c>
      <c r="AE874">
        <v>3</v>
      </c>
      <c r="AF874" t="s">
        <v>2338</v>
      </c>
      <c r="AG874">
        <v>60</v>
      </c>
      <c r="AK874" t="s">
        <v>291</v>
      </c>
      <c r="AM874" t="s">
        <v>98</v>
      </c>
      <c r="AN874" t="s">
        <v>291</v>
      </c>
      <c r="AO874" t="s">
        <v>98</v>
      </c>
      <c r="AP874" t="s">
        <v>99</v>
      </c>
      <c r="AQ874" t="s">
        <v>102</v>
      </c>
      <c r="AV874" t="s">
        <v>98</v>
      </c>
      <c r="AX874" t="s">
        <v>167</v>
      </c>
      <c r="AZ874" t="s">
        <v>2235</v>
      </c>
      <c r="BC874" t="s">
        <v>167</v>
      </c>
      <c r="BF874" t="s">
        <v>2838</v>
      </c>
      <c r="BG874" t="s">
        <v>98</v>
      </c>
      <c r="BH874" t="s">
        <v>98</v>
      </c>
      <c r="BI874" t="s">
        <v>98</v>
      </c>
      <c r="BK874" t="s">
        <v>138</v>
      </c>
      <c r="BU874">
        <v>6</v>
      </c>
      <c r="BW874">
        <v>0.75</v>
      </c>
      <c r="BX874" t="s">
        <v>2121</v>
      </c>
      <c r="BY874" t="s">
        <v>291</v>
      </c>
      <c r="BZ874" t="s">
        <v>2346</v>
      </c>
      <c r="CA874" t="s">
        <v>2839</v>
      </c>
      <c r="CB874" t="s">
        <v>167</v>
      </c>
      <c r="CC874">
        <v>188</v>
      </c>
      <c r="CD874">
        <v>0.56000000000000005</v>
      </c>
      <c r="CE874">
        <v>66.099999999999994</v>
      </c>
      <c r="CF874">
        <v>5699</v>
      </c>
      <c r="CL874" t="s">
        <v>98</v>
      </c>
      <c r="CM874" t="s">
        <v>98</v>
      </c>
      <c r="CO874" s="1">
        <v>42014</v>
      </c>
      <c r="CP874" s="1">
        <v>43595</v>
      </c>
    </row>
    <row r="875" spans="1:94" x14ac:dyDescent="0.25">
      <c r="A875" s="4" t="s">
        <v>2840</v>
      </c>
      <c r="B875" t="str">
        <f xml:space="preserve"> "" &amp; 706411052415</f>
        <v>706411052415</v>
      </c>
      <c r="C875" t="s">
        <v>2178</v>
      </c>
      <c r="D875" t="s">
        <v>2836</v>
      </c>
      <c r="E875" t="s">
        <v>2837</v>
      </c>
      <c r="F875" t="s">
        <v>2113</v>
      </c>
      <c r="G875">
        <v>1</v>
      </c>
      <c r="H875">
        <v>1</v>
      </c>
      <c r="I875" t="s">
        <v>97</v>
      </c>
      <c r="J875" s="32">
        <v>79.95</v>
      </c>
      <c r="K875" s="32">
        <v>239.85</v>
      </c>
      <c r="L875">
        <v>0</v>
      </c>
      <c r="N875">
        <v>0</v>
      </c>
      <c r="Q875" t="s">
        <v>291</v>
      </c>
      <c r="R875" s="32">
        <v>149.94999999999999</v>
      </c>
      <c r="S875">
        <v>15</v>
      </c>
      <c r="T875">
        <v>52</v>
      </c>
      <c r="U875">
        <v>52</v>
      </c>
      <c r="W875">
        <v>17.11</v>
      </c>
      <c r="X875">
        <v>1</v>
      </c>
      <c r="Y875">
        <v>10.5</v>
      </c>
      <c r="Z875">
        <v>22.75</v>
      </c>
      <c r="AA875">
        <v>13.25</v>
      </c>
      <c r="AB875">
        <v>1.8320000000000001</v>
      </c>
      <c r="AC875">
        <v>20.39</v>
      </c>
      <c r="AE875">
        <v>3</v>
      </c>
      <c r="AF875" t="s">
        <v>2338</v>
      </c>
      <c r="AG875">
        <v>60</v>
      </c>
      <c r="AK875" t="s">
        <v>291</v>
      </c>
      <c r="AM875" t="s">
        <v>98</v>
      </c>
      <c r="AN875" t="s">
        <v>291</v>
      </c>
      <c r="AO875" t="s">
        <v>98</v>
      </c>
      <c r="AP875" t="s">
        <v>99</v>
      </c>
      <c r="AQ875" t="s">
        <v>102</v>
      </c>
      <c r="AV875" t="s">
        <v>98</v>
      </c>
      <c r="AX875" t="s">
        <v>245</v>
      </c>
      <c r="AZ875" t="s">
        <v>2235</v>
      </c>
      <c r="BB875" t="s">
        <v>106</v>
      </c>
      <c r="BC875" t="s">
        <v>2339</v>
      </c>
      <c r="BF875" t="s">
        <v>2841</v>
      </c>
      <c r="BG875" t="s">
        <v>98</v>
      </c>
      <c r="BH875" t="s">
        <v>98</v>
      </c>
      <c r="BI875" t="s">
        <v>98</v>
      </c>
      <c r="BK875" t="s">
        <v>138</v>
      </c>
      <c r="BU875">
        <v>6</v>
      </c>
      <c r="BW875">
        <v>0.75</v>
      </c>
      <c r="BX875" t="s">
        <v>2121</v>
      </c>
      <c r="BY875" t="s">
        <v>291</v>
      </c>
      <c r="BZ875" t="s">
        <v>2426</v>
      </c>
      <c r="CA875" t="s">
        <v>2839</v>
      </c>
      <c r="CB875" t="s">
        <v>245</v>
      </c>
      <c r="CC875">
        <v>188</v>
      </c>
      <c r="CD875">
        <v>0.56000000000000005</v>
      </c>
      <c r="CE875">
        <v>66.099999999999994</v>
      </c>
      <c r="CF875">
        <v>5699</v>
      </c>
      <c r="CL875" t="s">
        <v>98</v>
      </c>
      <c r="CM875" t="s">
        <v>98</v>
      </c>
      <c r="CO875" s="1">
        <v>42014</v>
      </c>
      <c r="CP875" s="1">
        <v>43595</v>
      </c>
    </row>
    <row r="876" spans="1:94" x14ac:dyDescent="0.25">
      <c r="A876" s="4" t="s">
        <v>2842</v>
      </c>
      <c r="B876" t="str">
        <f xml:space="preserve"> "" &amp; 706411052422</f>
        <v>706411052422</v>
      </c>
      <c r="C876" t="s">
        <v>2178</v>
      </c>
      <c r="D876" t="s">
        <v>2836</v>
      </c>
      <c r="E876" t="s">
        <v>2837</v>
      </c>
      <c r="F876" t="s">
        <v>2113</v>
      </c>
      <c r="G876">
        <v>1</v>
      </c>
      <c r="H876">
        <v>1</v>
      </c>
      <c r="I876" t="s">
        <v>97</v>
      </c>
      <c r="J876" s="32">
        <v>79.95</v>
      </c>
      <c r="K876" s="32">
        <v>239.85</v>
      </c>
      <c r="L876">
        <v>0</v>
      </c>
      <c r="N876">
        <v>0</v>
      </c>
      <c r="Q876" t="s">
        <v>291</v>
      </c>
      <c r="R876" s="32">
        <v>149.94999999999999</v>
      </c>
      <c r="S876">
        <v>15</v>
      </c>
      <c r="T876">
        <v>52</v>
      </c>
      <c r="U876">
        <v>52</v>
      </c>
      <c r="W876">
        <v>17.11</v>
      </c>
      <c r="X876">
        <v>1</v>
      </c>
      <c r="Y876">
        <v>10.5</v>
      </c>
      <c r="Z876">
        <v>22.75</v>
      </c>
      <c r="AA876">
        <v>13.25</v>
      </c>
      <c r="AB876">
        <v>1.8320000000000001</v>
      </c>
      <c r="AC876">
        <v>20.39</v>
      </c>
      <c r="AE876">
        <v>3</v>
      </c>
      <c r="AF876" t="s">
        <v>2338</v>
      </c>
      <c r="AG876">
        <v>60</v>
      </c>
      <c r="AK876" t="s">
        <v>291</v>
      </c>
      <c r="AM876" t="s">
        <v>98</v>
      </c>
      <c r="AN876" t="s">
        <v>291</v>
      </c>
      <c r="AO876" t="s">
        <v>98</v>
      </c>
      <c r="AP876" t="s">
        <v>99</v>
      </c>
      <c r="AQ876" t="s">
        <v>102</v>
      </c>
      <c r="AV876" t="s">
        <v>98</v>
      </c>
      <c r="AX876" t="s">
        <v>245</v>
      </c>
      <c r="AZ876" t="s">
        <v>2235</v>
      </c>
      <c r="BB876" t="s">
        <v>106</v>
      </c>
      <c r="BC876" t="s">
        <v>2351</v>
      </c>
      <c r="BF876" t="s">
        <v>2843</v>
      </c>
      <c r="BG876" t="s">
        <v>98</v>
      </c>
      <c r="BH876" t="s">
        <v>98</v>
      </c>
      <c r="BI876" t="s">
        <v>98</v>
      </c>
      <c r="BK876" t="s">
        <v>138</v>
      </c>
      <c r="BU876">
        <v>6</v>
      </c>
      <c r="BW876">
        <v>0.75</v>
      </c>
      <c r="BX876" t="s">
        <v>2121</v>
      </c>
      <c r="BY876" t="s">
        <v>291</v>
      </c>
      <c r="BZ876" t="s">
        <v>2844</v>
      </c>
      <c r="CA876" t="s">
        <v>2839</v>
      </c>
      <c r="CB876" t="s">
        <v>245</v>
      </c>
      <c r="CC876">
        <v>188</v>
      </c>
      <c r="CD876">
        <v>0.56000000000000005</v>
      </c>
      <c r="CE876">
        <v>66.099999999999994</v>
      </c>
      <c r="CF876">
        <v>5699</v>
      </c>
      <c r="CL876" t="s">
        <v>98</v>
      </c>
      <c r="CM876" t="s">
        <v>98</v>
      </c>
      <c r="CO876" s="1">
        <v>42014</v>
      </c>
      <c r="CP876" s="1">
        <v>43595</v>
      </c>
    </row>
    <row r="877" spans="1:94" x14ac:dyDescent="0.25">
      <c r="A877" s="4" t="s">
        <v>2845</v>
      </c>
      <c r="B877" t="str">
        <f xml:space="preserve"> "" &amp; 706411052408</f>
        <v>706411052408</v>
      </c>
      <c r="C877" t="s">
        <v>2178</v>
      </c>
      <c r="D877" t="s">
        <v>2836</v>
      </c>
      <c r="E877" t="s">
        <v>2837</v>
      </c>
      <c r="F877" t="s">
        <v>2113</v>
      </c>
      <c r="G877">
        <v>1</v>
      </c>
      <c r="H877">
        <v>1</v>
      </c>
      <c r="I877" t="s">
        <v>97</v>
      </c>
      <c r="J877" s="32">
        <v>79.95</v>
      </c>
      <c r="K877" s="32">
        <v>239.85</v>
      </c>
      <c r="L877">
        <v>0</v>
      </c>
      <c r="N877">
        <v>0</v>
      </c>
      <c r="Q877" t="s">
        <v>291</v>
      </c>
      <c r="R877" s="32">
        <v>149.94999999999999</v>
      </c>
      <c r="S877">
        <v>15</v>
      </c>
      <c r="T877">
        <v>52</v>
      </c>
      <c r="U877">
        <v>52</v>
      </c>
      <c r="W877">
        <v>17.11</v>
      </c>
      <c r="X877">
        <v>1</v>
      </c>
      <c r="Y877">
        <v>10.5</v>
      </c>
      <c r="Z877">
        <v>22.75</v>
      </c>
      <c r="AA877">
        <v>13.25</v>
      </c>
      <c r="AB877">
        <v>1.8320000000000001</v>
      </c>
      <c r="AC877">
        <v>20.39</v>
      </c>
      <c r="AE877">
        <v>3</v>
      </c>
      <c r="AF877" t="s">
        <v>2846</v>
      </c>
      <c r="AG877">
        <v>60</v>
      </c>
      <c r="AK877" t="s">
        <v>291</v>
      </c>
      <c r="AM877" t="s">
        <v>98</v>
      </c>
      <c r="AN877" t="s">
        <v>291</v>
      </c>
      <c r="AO877" t="s">
        <v>98</v>
      </c>
      <c r="AP877" t="s">
        <v>99</v>
      </c>
      <c r="AQ877" t="s">
        <v>102</v>
      </c>
      <c r="AV877" t="s">
        <v>98</v>
      </c>
      <c r="AX877" t="s">
        <v>261</v>
      </c>
      <c r="AZ877" t="s">
        <v>2235</v>
      </c>
      <c r="BB877" t="s">
        <v>106</v>
      </c>
      <c r="BC877" t="s">
        <v>2847</v>
      </c>
      <c r="BF877" t="s">
        <v>2848</v>
      </c>
      <c r="BG877" t="s">
        <v>98</v>
      </c>
      <c r="BH877" t="s">
        <v>98</v>
      </c>
      <c r="BI877" t="s">
        <v>98</v>
      </c>
      <c r="BK877" t="s">
        <v>138</v>
      </c>
      <c r="BU877">
        <v>6</v>
      </c>
      <c r="BW877">
        <v>0.75</v>
      </c>
      <c r="BX877" t="s">
        <v>2121</v>
      </c>
      <c r="BY877" t="s">
        <v>291</v>
      </c>
      <c r="BZ877" t="s">
        <v>2426</v>
      </c>
      <c r="CA877" t="s">
        <v>2839</v>
      </c>
      <c r="CB877" t="s">
        <v>261</v>
      </c>
      <c r="CC877">
        <v>188</v>
      </c>
      <c r="CD877">
        <v>0.56000000000000005</v>
      </c>
      <c r="CE877">
        <v>66.099999999999994</v>
      </c>
      <c r="CF877">
        <v>5699</v>
      </c>
      <c r="CL877" t="s">
        <v>98</v>
      </c>
      <c r="CM877" t="s">
        <v>98</v>
      </c>
      <c r="CO877" s="1">
        <v>42014</v>
      </c>
      <c r="CP877" s="1">
        <v>43595</v>
      </c>
    </row>
    <row r="878" spans="1:94" x14ac:dyDescent="0.25">
      <c r="A878" s="4" t="s">
        <v>2849</v>
      </c>
      <c r="B878" t="str">
        <f xml:space="preserve"> "" &amp; 706411062261</f>
        <v>706411062261</v>
      </c>
      <c r="C878" t="s">
        <v>2850</v>
      </c>
      <c r="D878" t="s">
        <v>2851</v>
      </c>
      <c r="E878" t="s">
        <v>2852</v>
      </c>
      <c r="F878" t="s">
        <v>2113</v>
      </c>
      <c r="G878">
        <v>1</v>
      </c>
      <c r="H878">
        <v>1</v>
      </c>
      <c r="I878" t="s">
        <v>97</v>
      </c>
      <c r="J878" s="32">
        <v>129.94999999999999</v>
      </c>
      <c r="K878" s="32">
        <v>389.85</v>
      </c>
      <c r="L878">
        <v>0</v>
      </c>
      <c r="N878">
        <v>0</v>
      </c>
      <c r="Q878" t="s">
        <v>291</v>
      </c>
      <c r="R878" s="32">
        <v>259.95</v>
      </c>
      <c r="S878">
        <v>16.75</v>
      </c>
      <c r="T878">
        <v>54</v>
      </c>
      <c r="U878">
        <v>54</v>
      </c>
      <c r="W878">
        <v>15.61</v>
      </c>
      <c r="X878">
        <v>1</v>
      </c>
      <c r="Y878">
        <v>9</v>
      </c>
      <c r="Z878">
        <v>25.75</v>
      </c>
      <c r="AA878">
        <v>11.25</v>
      </c>
      <c r="AB878">
        <v>1.5089999999999999</v>
      </c>
      <c r="AC878">
        <v>18.39</v>
      </c>
      <c r="AE878">
        <v>1</v>
      </c>
      <c r="AG878">
        <v>16</v>
      </c>
      <c r="AK878" t="s">
        <v>291</v>
      </c>
      <c r="AM878" t="s">
        <v>98</v>
      </c>
      <c r="AN878" t="s">
        <v>291</v>
      </c>
      <c r="AO878" t="s">
        <v>98</v>
      </c>
      <c r="AP878" t="s">
        <v>99</v>
      </c>
      <c r="AQ878" t="s">
        <v>102</v>
      </c>
      <c r="AV878" t="s">
        <v>98</v>
      </c>
      <c r="AX878" t="s">
        <v>2853</v>
      </c>
      <c r="AZ878" t="s">
        <v>109</v>
      </c>
      <c r="BB878" t="s">
        <v>106</v>
      </c>
      <c r="BC878" t="s">
        <v>302</v>
      </c>
      <c r="BF878" t="s">
        <v>2854</v>
      </c>
      <c r="BG878" t="s">
        <v>98</v>
      </c>
      <c r="BH878" t="s">
        <v>98</v>
      </c>
      <c r="BI878" t="s">
        <v>98</v>
      </c>
      <c r="BK878" t="s">
        <v>138</v>
      </c>
      <c r="BU878" t="s">
        <v>2855</v>
      </c>
      <c r="BW878" t="s">
        <v>2856</v>
      </c>
      <c r="BX878">
        <v>12</v>
      </c>
      <c r="BY878" t="s">
        <v>291</v>
      </c>
      <c r="BZ878" t="s">
        <v>2857</v>
      </c>
      <c r="CA878" t="s">
        <v>2858</v>
      </c>
      <c r="CB878" t="s">
        <v>2853</v>
      </c>
      <c r="CC878">
        <v>165</v>
      </c>
      <c r="CD878">
        <v>0.5</v>
      </c>
      <c r="CE878">
        <v>59.62</v>
      </c>
      <c r="CF878">
        <v>4985</v>
      </c>
      <c r="CG878">
        <v>3000</v>
      </c>
      <c r="CH878">
        <v>93</v>
      </c>
      <c r="CI878">
        <v>1147</v>
      </c>
      <c r="CJ878">
        <v>661</v>
      </c>
      <c r="CK878">
        <v>30000</v>
      </c>
      <c r="CL878" t="s">
        <v>291</v>
      </c>
      <c r="CM878" t="s">
        <v>291</v>
      </c>
      <c r="CN878" t="s">
        <v>2859</v>
      </c>
      <c r="CO878" s="1">
        <v>43582</v>
      </c>
      <c r="CP878" s="1">
        <v>43622</v>
      </c>
    </row>
    <row r="879" spans="1:94" x14ac:dyDescent="0.25">
      <c r="A879" s="4" t="s">
        <v>2860</v>
      </c>
      <c r="B879" t="str">
        <f xml:space="preserve"> "" &amp; 706411061721</f>
        <v>706411061721</v>
      </c>
      <c r="C879" t="s">
        <v>2850</v>
      </c>
      <c r="D879" t="s">
        <v>2851</v>
      </c>
      <c r="E879" t="s">
        <v>2852</v>
      </c>
      <c r="F879" t="s">
        <v>2113</v>
      </c>
      <c r="G879">
        <v>1</v>
      </c>
      <c r="H879">
        <v>1</v>
      </c>
      <c r="I879" t="s">
        <v>97</v>
      </c>
      <c r="J879" s="32">
        <v>129.94999999999999</v>
      </c>
      <c r="K879" s="32">
        <v>389.85</v>
      </c>
      <c r="L879">
        <v>0</v>
      </c>
      <c r="N879">
        <v>0</v>
      </c>
      <c r="Q879" t="s">
        <v>291</v>
      </c>
      <c r="R879" s="32">
        <v>259.95</v>
      </c>
      <c r="S879">
        <v>16.75</v>
      </c>
      <c r="T879">
        <v>54</v>
      </c>
      <c r="U879">
        <v>54</v>
      </c>
      <c r="W879">
        <v>15.61</v>
      </c>
      <c r="X879">
        <v>1</v>
      </c>
      <c r="Y879">
        <v>9</v>
      </c>
      <c r="Z879">
        <v>25.75</v>
      </c>
      <c r="AA879">
        <v>11.25</v>
      </c>
      <c r="AB879">
        <v>1.5089999999999999</v>
      </c>
      <c r="AC879">
        <v>18.39</v>
      </c>
      <c r="AE879">
        <v>1</v>
      </c>
      <c r="AG879">
        <v>16</v>
      </c>
      <c r="AK879" t="s">
        <v>291</v>
      </c>
      <c r="AM879" t="s">
        <v>98</v>
      </c>
      <c r="AN879" t="s">
        <v>291</v>
      </c>
      <c r="AO879" t="s">
        <v>98</v>
      </c>
      <c r="AP879" t="s">
        <v>99</v>
      </c>
      <c r="AQ879" t="s">
        <v>102</v>
      </c>
      <c r="AV879" t="s">
        <v>98</v>
      </c>
      <c r="AX879" t="s">
        <v>2853</v>
      </c>
      <c r="AZ879" t="s">
        <v>109</v>
      </c>
      <c r="BB879" t="s">
        <v>106</v>
      </c>
      <c r="BC879" t="s">
        <v>302</v>
      </c>
      <c r="BF879" t="s">
        <v>2861</v>
      </c>
      <c r="BG879" t="s">
        <v>98</v>
      </c>
      <c r="BH879" t="s">
        <v>98</v>
      </c>
      <c r="BI879" t="s">
        <v>98</v>
      </c>
      <c r="BK879" t="s">
        <v>138</v>
      </c>
      <c r="BU879" t="s">
        <v>2855</v>
      </c>
      <c r="BW879" t="s">
        <v>2856</v>
      </c>
      <c r="BX879">
        <v>12</v>
      </c>
      <c r="BY879" t="s">
        <v>291</v>
      </c>
      <c r="BZ879" t="s">
        <v>2857</v>
      </c>
      <c r="CA879" t="s">
        <v>2858</v>
      </c>
      <c r="CB879" t="s">
        <v>2853</v>
      </c>
      <c r="CC879">
        <v>165</v>
      </c>
      <c r="CD879">
        <v>0.5</v>
      </c>
      <c r="CE879">
        <v>59.62</v>
      </c>
      <c r="CF879">
        <v>4985</v>
      </c>
      <c r="CG879">
        <v>3000</v>
      </c>
      <c r="CH879">
        <v>93</v>
      </c>
      <c r="CI879">
        <v>1147</v>
      </c>
      <c r="CJ879">
        <v>661</v>
      </c>
      <c r="CK879">
        <v>30000</v>
      </c>
      <c r="CL879" t="s">
        <v>291</v>
      </c>
      <c r="CM879" t="s">
        <v>291</v>
      </c>
      <c r="CN879" t="s">
        <v>2862</v>
      </c>
      <c r="CO879" s="1">
        <v>43582</v>
      </c>
      <c r="CP879" s="1">
        <v>43622</v>
      </c>
    </row>
    <row r="880" spans="1:94" x14ac:dyDescent="0.25">
      <c r="A880" s="4" t="s">
        <v>2863</v>
      </c>
      <c r="B880" t="str">
        <f xml:space="preserve"> "" &amp; 706411061714</f>
        <v>706411061714</v>
      </c>
      <c r="C880" t="s">
        <v>2850</v>
      </c>
      <c r="D880" t="s">
        <v>2851</v>
      </c>
      <c r="E880" t="s">
        <v>2852</v>
      </c>
      <c r="F880" t="s">
        <v>2113</v>
      </c>
      <c r="G880">
        <v>1</v>
      </c>
      <c r="H880">
        <v>1</v>
      </c>
      <c r="I880" t="s">
        <v>97</v>
      </c>
      <c r="J880" s="32">
        <v>129.94999999999999</v>
      </c>
      <c r="K880" s="32">
        <v>389.85</v>
      </c>
      <c r="L880">
        <v>0</v>
      </c>
      <c r="N880">
        <v>0</v>
      </c>
      <c r="Q880" t="s">
        <v>291</v>
      </c>
      <c r="R880" s="32">
        <v>259.95</v>
      </c>
      <c r="S880">
        <v>16.75</v>
      </c>
      <c r="T880">
        <v>54</v>
      </c>
      <c r="U880">
        <v>54</v>
      </c>
      <c r="W880">
        <v>15.61</v>
      </c>
      <c r="X880">
        <v>1</v>
      </c>
      <c r="Y880">
        <v>9</v>
      </c>
      <c r="Z880">
        <v>25.75</v>
      </c>
      <c r="AA880">
        <v>11.25</v>
      </c>
      <c r="AB880">
        <v>1.5089999999999999</v>
      </c>
      <c r="AC880">
        <v>18.39</v>
      </c>
      <c r="AE880">
        <v>1</v>
      </c>
      <c r="AG880">
        <v>16</v>
      </c>
      <c r="AK880" t="s">
        <v>291</v>
      </c>
      <c r="AM880" t="s">
        <v>98</v>
      </c>
      <c r="AN880" t="s">
        <v>291</v>
      </c>
      <c r="AO880" t="s">
        <v>98</v>
      </c>
      <c r="AP880" t="s">
        <v>99</v>
      </c>
      <c r="AQ880" t="s">
        <v>102</v>
      </c>
      <c r="AV880" t="s">
        <v>98</v>
      </c>
      <c r="AX880" t="s">
        <v>2864</v>
      </c>
      <c r="AZ880" t="s">
        <v>109</v>
      </c>
      <c r="BB880" t="s">
        <v>106</v>
      </c>
      <c r="BC880" t="s">
        <v>302</v>
      </c>
      <c r="BF880" t="s">
        <v>2865</v>
      </c>
      <c r="BG880" t="s">
        <v>98</v>
      </c>
      <c r="BH880" t="s">
        <v>98</v>
      </c>
      <c r="BI880" t="s">
        <v>98</v>
      </c>
      <c r="BK880" t="s">
        <v>138</v>
      </c>
      <c r="BU880" t="s">
        <v>2855</v>
      </c>
      <c r="BW880" t="s">
        <v>2856</v>
      </c>
      <c r="BY880" t="s">
        <v>291</v>
      </c>
      <c r="BZ880" t="s">
        <v>441</v>
      </c>
      <c r="CA880" t="s">
        <v>2858</v>
      </c>
      <c r="CB880" t="s">
        <v>2864</v>
      </c>
      <c r="CC880">
        <v>165</v>
      </c>
      <c r="CD880">
        <v>0.5</v>
      </c>
      <c r="CE880">
        <v>59.62</v>
      </c>
      <c r="CF880">
        <v>4985</v>
      </c>
      <c r="CG880">
        <v>3000</v>
      </c>
      <c r="CH880">
        <v>93</v>
      </c>
      <c r="CI880">
        <v>1147</v>
      </c>
      <c r="CJ880">
        <v>661</v>
      </c>
      <c r="CK880">
        <v>30000</v>
      </c>
      <c r="CL880" t="s">
        <v>291</v>
      </c>
      <c r="CM880" t="s">
        <v>291</v>
      </c>
      <c r="CN880" t="s">
        <v>2866</v>
      </c>
      <c r="CO880" s="1">
        <v>43582</v>
      </c>
      <c r="CP880" s="1">
        <v>43622</v>
      </c>
    </row>
    <row r="881" spans="1:94" x14ac:dyDescent="0.25">
      <c r="A881" s="4" t="s">
        <v>2867</v>
      </c>
      <c r="B881" t="str">
        <f xml:space="preserve"> "" &amp; 706411061752</f>
        <v>706411061752</v>
      </c>
      <c r="C881" t="s">
        <v>2850</v>
      </c>
      <c r="D881" t="s">
        <v>2851</v>
      </c>
      <c r="E881" t="s">
        <v>2852</v>
      </c>
      <c r="F881" t="s">
        <v>2113</v>
      </c>
      <c r="G881">
        <v>1</v>
      </c>
      <c r="H881">
        <v>1</v>
      </c>
      <c r="I881" t="s">
        <v>97</v>
      </c>
      <c r="J881" s="32">
        <v>129.94999999999999</v>
      </c>
      <c r="K881" s="32">
        <v>389.85</v>
      </c>
      <c r="L881">
        <v>0</v>
      </c>
      <c r="N881">
        <v>0</v>
      </c>
      <c r="Q881" t="s">
        <v>291</v>
      </c>
      <c r="R881" s="32">
        <v>259.95</v>
      </c>
      <c r="S881">
        <v>16.75</v>
      </c>
      <c r="T881">
        <v>54</v>
      </c>
      <c r="U881">
        <v>54</v>
      </c>
      <c r="W881">
        <v>15.61</v>
      </c>
      <c r="X881">
        <v>1</v>
      </c>
      <c r="Y881">
        <v>9</v>
      </c>
      <c r="Z881">
        <v>25.75</v>
      </c>
      <c r="AA881">
        <v>11.25</v>
      </c>
      <c r="AB881">
        <v>1.5089999999999999</v>
      </c>
      <c r="AC881">
        <v>18.39</v>
      </c>
      <c r="AE881">
        <v>1</v>
      </c>
      <c r="AG881">
        <v>16</v>
      </c>
      <c r="AK881" t="s">
        <v>291</v>
      </c>
      <c r="AM881" t="s">
        <v>98</v>
      </c>
      <c r="AN881" t="s">
        <v>291</v>
      </c>
      <c r="AO881" t="s">
        <v>98</v>
      </c>
      <c r="AP881" t="s">
        <v>99</v>
      </c>
      <c r="AQ881" t="s">
        <v>102</v>
      </c>
      <c r="AV881" t="s">
        <v>98</v>
      </c>
      <c r="AX881" t="s">
        <v>2868</v>
      </c>
      <c r="AZ881" t="s">
        <v>535</v>
      </c>
      <c r="BB881" t="s">
        <v>106</v>
      </c>
      <c r="BC881" t="s">
        <v>302</v>
      </c>
      <c r="BF881" t="s">
        <v>2869</v>
      </c>
      <c r="BG881" t="s">
        <v>98</v>
      </c>
      <c r="BH881" t="s">
        <v>98</v>
      </c>
      <c r="BI881" t="s">
        <v>98</v>
      </c>
      <c r="BK881" t="s">
        <v>138</v>
      </c>
      <c r="BU881" t="s">
        <v>2855</v>
      </c>
      <c r="BW881">
        <v>0.75</v>
      </c>
      <c r="BX881">
        <v>12</v>
      </c>
      <c r="BY881" t="s">
        <v>291</v>
      </c>
      <c r="BZ881" t="s">
        <v>306</v>
      </c>
      <c r="CA881" t="s">
        <v>2858</v>
      </c>
      <c r="CB881" t="s">
        <v>2868</v>
      </c>
      <c r="CC881">
        <v>165</v>
      </c>
      <c r="CD881">
        <v>0.5</v>
      </c>
      <c r="CE881">
        <v>59.62</v>
      </c>
      <c r="CF881">
        <v>4985</v>
      </c>
      <c r="CG881">
        <v>3000</v>
      </c>
      <c r="CH881">
        <v>93</v>
      </c>
      <c r="CI881">
        <v>1147</v>
      </c>
      <c r="CJ881">
        <v>661</v>
      </c>
      <c r="CK881">
        <v>30000</v>
      </c>
      <c r="CL881" t="s">
        <v>291</v>
      </c>
      <c r="CM881" t="s">
        <v>291</v>
      </c>
      <c r="CN881" t="s">
        <v>2870</v>
      </c>
      <c r="CO881" s="1">
        <v>43582</v>
      </c>
      <c r="CP881" s="1">
        <v>43622</v>
      </c>
    </row>
    <row r="882" spans="1:94" x14ac:dyDescent="0.25">
      <c r="A882" s="4" t="s">
        <v>2871</v>
      </c>
      <c r="B882" t="str">
        <f xml:space="preserve"> "" &amp; 706411054280</f>
        <v>706411054280</v>
      </c>
      <c r="C882" t="s">
        <v>2178</v>
      </c>
      <c r="D882" t="s">
        <v>2872</v>
      </c>
      <c r="E882" t="s">
        <v>2873</v>
      </c>
      <c r="F882" t="s">
        <v>2113</v>
      </c>
      <c r="G882">
        <v>1</v>
      </c>
      <c r="H882">
        <v>1</v>
      </c>
      <c r="I882" t="s">
        <v>97</v>
      </c>
      <c r="J882" s="32">
        <v>122.95</v>
      </c>
      <c r="K882" s="32">
        <v>368.85</v>
      </c>
      <c r="L882">
        <v>0</v>
      </c>
      <c r="N882">
        <v>0</v>
      </c>
      <c r="Q882" t="s">
        <v>291</v>
      </c>
      <c r="R882" s="32">
        <v>245.95</v>
      </c>
      <c r="S882">
        <v>10.25</v>
      </c>
      <c r="T882">
        <v>62</v>
      </c>
      <c r="U882">
        <v>62</v>
      </c>
      <c r="W882">
        <v>13.76</v>
      </c>
      <c r="X882">
        <v>1</v>
      </c>
      <c r="Y882">
        <v>7.88</v>
      </c>
      <c r="Z882">
        <v>30.25</v>
      </c>
      <c r="AA882">
        <v>10</v>
      </c>
      <c r="AB882">
        <v>1.379</v>
      </c>
      <c r="AC882">
        <v>16.309999999999999</v>
      </c>
      <c r="AK882" t="s">
        <v>98</v>
      </c>
      <c r="AM882" t="s">
        <v>98</v>
      </c>
      <c r="AN882" t="s">
        <v>291</v>
      </c>
      <c r="AO882" t="s">
        <v>98</v>
      </c>
      <c r="AP882" t="s">
        <v>99</v>
      </c>
      <c r="AQ882" t="s">
        <v>102</v>
      </c>
      <c r="AV882" t="s">
        <v>98</v>
      </c>
      <c r="AX882" t="s">
        <v>311</v>
      </c>
      <c r="AZ882" t="s">
        <v>2149</v>
      </c>
      <c r="BF882" t="s">
        <v>2874</v>
      </c>
      <c r="BG882" t="s">
        <v>98</v>
      </c>
      <c r="BH882" t="s">
        <v>98</v>
      </c>
      <c r="BI882" t="s">
        <v>98</v>
      </c>
      <c r="BJ882" t="s">
        <v>291</v>
      </c>
      <c r="BK882" t="s">
        <v>292</v>
      </c>
      <c r="BU882">
        <v>6</v>
      </c>
      <c r="BW882">
        <v>0.75</v>
      </c>
      <c r="BX882" t="s">
        <v>2195</v>
      </c>
      <c r="BZ882" t="s">
        <v>441</v>
      </c>
      <c r="CA882" t="s">
        <v>2875</v>
      </c>
      <c r="CB882" t="s">
        <v>311</v>
      </c>
      <c r="CC882">
        <v>188</v>
      </c>
      <c r="CD882">
        <v>0.59</v>
      </c>
      <c r="CE882">
        <v>70.69</v>
      </c>
      <c r="CF882">
        <v>7567</v>
      </c>
      <c r="CL882" t="s">
        <v>98</v>
      </c>
      <c r="CM882" t="s">
        <v>291</v>
      </c>
      <c r="CN882" t="s">
        <v>2876</v>
      </c>
      <c r="CO882" s="1">
        <v>42355</v>
      </c>
      <c r="CP882" s="1">
        <v>43595</v>
      </c>
    </row>
    <row r="883" spans="1:94" x14ac:dyDescent="0.25">
      <c r="A883" s="4" t="s">
        <v>2877</v>
      </c>
      <c r="B883" t="str">
        <f xml:space="preserve"> "" &amp; 706411054228</f>
        <v>706411054228</v>
      </c>
      <c r="C883" t="s">
        <v>2178</v>
      </c>
      <c r="D883" t="s">
        <v>2872</v>
      </c>
      <c r="E883" t="s">
        <v>2873</v>
      </c>
      <c r="F883" t="s">
        <v>2113</v>
      </c>
      <c r="G883">
        <v>1</v>
      </c>
      <c r="H883">
        <v>1</v>
      </c>
      <c r="I883" t="s">
        <v>97</v>
      </c>
      <c r="J883" s="32">
        <v>122.95</v>
      </c>
      <c r="K883" s="32">
        <v>368.85</v>
      </c>
      <c r="L883">
        <v>0</v>
      </c>
      <c r="N883">
        <v>0</v>
      </c>
      <c r="Q883" t="s">
        <v>291</v>
      </c>
      <c r="R883" s="32">
        <v>245.95</v>
      </c>
      <c r="S883">
        <v>10.25</v>
      </c>
      <c r="T883">
        <v>62</v>
      </c>
      <c r="U883">
        <v>62</v>
      </c>
      <c r="W883">
        <v>13.76</v>
      </c>
      <c r="X883">
        <v>1</v>
      </c>
      <c r="Y883">
        <v>7.88</v>
      </c>
      <c r="Z883">
        <v>30.25</v>
      </c>
      <c r="AA883">
        <v>10</v>
      </c>
      <c r="AB883">
        <v>1.379</v>
      </c>
      <c r="AC883">
        <v>16.309999999999999</v>
      </c>
      <c r="AK883" t="s">
        <v>98</v>
      </c>
      <c r="AM883" t="s">
        <v>98</v>
      </c>
      <c r="AN883" t="s">
        <v>291</v>
      </c>
      <c r="AO883" t="s">
        <v>98</v>
      </c>
      <c r="AP883" t="s">
        <v>99</v>
      </c>
      <c r="AQ883" t="s">
        <v>102</v>
      </c>
      <c r="AV883" t="s">
        <v>98</v>
      </c>
      <c r="AX883" t="s">
        <v>245</v>
      </c>
      <c r="AZ883" t="s">
        <v>2149</v>
      </c>
      <c r="BF883" t="s">
        <v>2878</v>
      </c>
      <c r="BG883" t="s">
        <v>98</v>
      </c>
      <c r="BH883" t="s">
        <v>98</v>
      </c>
      <c r="BI883" t="s">
        <v>98</v>
      </c>
      <c r="BJ883" t="s">
        <v>291</v>
      </c>
      <c r="BK883" t="s">
        <v>292</v>
      </c>
      <c r="BU883">
        <v>6</v>
      </c>
      <c r="BW883">
        <v>0.75</v>
      </c>
      <c r="BX883" t="s">
        <v>2195</v>
      </c>
      <c r="BZ883" t="s">
        <v>245</v>
      </c>
      <c r="CA883" t="s">
        <v>2875</v>
      </c>
      <c r="CB883" t="s">
        <v>245</v>
      </c>
      <c r="CC883">
        <v>188</v>
      </c>
      <c r="CD883">
        <v>0.59</v>
      </c>
      <c r="CE883">
        <v>70.69</v>
      </c>
      <c r="CF883">
        <v>7567</v>
      </c>
      <c r="CL883" t="s">
        <v>98</v>
      </c>
      <c r="CM883" t="s">
        <v>291</v>
      </c>
      <c r="CN883" t="s">
        <v>2876</v>
      </c>
      <c r="CO883" s="1">
        <v>42355</v>
      </c>
      <c r="CP883" s="1">
        <v>43595</v>
      </c>
    </row>
    <row r="884" spans="1:94" x14ac:dyDescent="0.25">
      <c r="A884" s="4" t="s">
        <v>2879</v>
      </c>
      <c r="B884" t="str">
        <f xml:space="preserve"> "" &amp; 706411054235</f>
        <v>706411054235</v>
      </c>
      <c r="C884" t="s">
        <v>2178</v>
      </c>
      <c r="D884" t="s">
        <v>2872</v>
      </c>
      <c r="E884" t="s">
        <v>2873</v>
      </c>
      <c r="F884" t="s">
        <v>2113</v>
      </c>
      <c r="G884">
        <v>1</v>
      </c>
      <c r="H884">
        <v>1</v>
      </c>
      <c r="I884" t="s">
        <v>97</v>
      </c>
      <c r="J884" s="32">
        <v>122.95</v>
      </c>
      <c r="K884" s="32">
        <v>368.85</v>
      </c>
      <c r="L884">
        <v>0</v>
      </c>
      <c r="N884">
        <v>0</v>
      </c>
      <c r="Q884" t="s">
        <v>291</v>
      </c>
      <c r="R884" s="32">
        <v>245.95</v>
      </c>
      <c r="S884">
        <v>10.25</v>
      </c>
      <c r="T884">
        <v>62</v>
      </c>
      <c r="U884">
        <v>62</v>
      </c>
      <c r="W884">
        <v>13.76</v>
      </c>
      <c r="X884">
        <v>1</v>
      </c>
      <c r="Y884">
        <v>7.88</v>
      </c>
      <c r="Z884">
        <v>30.25</v>
      </c>
      <c r="AA884">
        <v>10</v>
      </c>
      <c r="AB884">
        <v>1.379</v>
      </c>
      <c r="AC884">
        <v>16.309999999999999</v>
      </c>
      <c r="AK884" t="s">
        <v>98</v>
      </c>
      <c r="AM884" t="s">
        <v>98</v>
      </c>
      <c r="AN884" t="s">
        <v>291</v>
      </c>
      <c r="AO884" t="s">
        <v>98</v>
      </c>
      <c r="AP884" t="s">
        <v>99</v>
      </c>
      <c r="AQ884" t="s">
        <v>102</v>
      </c>
      <c r="AV884" t="s">
        <v>98</v>
      </c>
      <c r="AX884" t="s">
        <v>306</v>
      </c>
      <c r="AZ884" t="s">
        <v>2149</v>
      </c>
      <c r="BF884" t="s">
        <v>2880</v>
      </c>
      <c r="BG884" t="s">
        <v>98</v>
      </c>
      <c r="BH884" t="s">
        <v>98</v>
      </c>
      <c r="BI884" t="s">
        <v>98</v>
      </c>
      <c r="BJ884" t="s">
        <v>291</v>
      </c>
      <c r="BK884" t="s">
        <v>292</v>
      </c>
      <c r="BU884">
        <v>6</v>
      </c>
      <c r="BW884">
        <v>0.75</v>
      </c>
      <c r="BX884" t="s">
        <v>2195</v>
      </c>
      <c r="BZ884" t="s">
        <v>306</v>
      </c>
      <c r="CA884" t="s">
        <v>2875</v>
      </c>
      <c r="CB884" t="s">
        <v>306</v>
      </c>
      <c r="CC884">
        <v>188</v>
      </c>
      <c r="CD884">
        <v>0.59</v>
      </c>
      <c r="CE884">
        <v>70.69</v>
      </c>
      <c r="CF884">
        <v>7567</v>
      </c>
      <c r="CL884" t="s">
        <v>98</v>
      </c>
      <c r="CM884" t="s">
        <v>291</v>
      </c>
      <c r="CN884" t="s">
        <v>700</v>
      </c>
      <c r="CO884" s="1">
        <v>42401</v>
      </c>
      <c r="CP884" s="1">
        <v>43595</v>
      </c>
    </row>
    <row r="885" spans="1:94" x14ac:dyDescent="0.25">
      <c r="A885" s="4" t="s">
        <v>2881</v>
      </c>
      <c r="B885" t="str">
        <f xml:space="preserve"> "" &amp; 706411040047</f>
        <v>706411040047</v>
      </c>
      <c r="C885" t="s">
        <v>2178</v>
      </c>
      <c r="D885" t="s">
        <v>2525</v>
      </c>
      <c r="E885" t="s">
        <v>2882</v>
      </c>
      <c r="F885" t="s">
        <v>2113</v>
      </c>
      <c r="G885">
        <v>1</v>
      </c>
      <c r="H885">
        <v>1</v>
      </c>
      <c r="I885" t="s">
        <v>97</v>
      </c>
      <c r="J885" s="32">
        <v>72.95</v>
      </c>
      <c r="K885" s="32">
        <v>218.85</v>
      </c>
      <c r="L885">
        <v>0</v>
      </c>
      <c r="N885">
        <v>0</v>
      </c>
      <c r="S885">
        <v>18</v>
      </c>
      <c r="T885">
        <v>52</v>
      </c>
      <c r="U885">
        <v>52</v>
      </c>
      <c r="W885">
        <v>15.83</v>
      </c>
      <c r="X885">
        <v>1</v>
      </c>
      <c r="Y885">
        <v>10.5</v>
      </c>
      <c r="Z885">
        <v>21</v>
      </c>
      <c r="AA885">
        <v>13.13</v>
      </c>
      <c r="AB885">
        <v>1.675</v>
      </c>
      <c r="AC885">
        <v>18.010000000000002</v>
      </c>
      <c r="AE885">
        <v>3</v>
      </c>
      <c r="AF885" t="s">
        <v>2883</v>
      </c>
      <c r="AG885">
        <v>60</v>
      </c>
      <c r="AK885" t="s">
        <v>291</v>
      </c>
      <c r="AM885" t="s">
        <v>98</v>
      </c>
      <c r="AN885" t="s">
        <v>98</v>
      </c>
      <c r="AO885" t="s">
        <v>291</v>
      </c>
      <c r="AP885" t="s">
        <v>99</v>
      </c>
      <c r="AQ885" t="s">
        <v>102</v>
      </c>
      <c r="AV885" t="s">
        <v>98</v>
      </c>
      <c r="AX885" t="s">
        <v>163</v>
      </c>
      <c r="BB885" t="s">
        <v>54</v>
      </c>
      <c r="BC885" t="s">
        <v>2884</v>
      </c>
      <c r="BF885" t="s">
        <v>2885</v>
      </c>
      <c r="BG885" t="s">
        <v>98</v>
      </c>
      <c r="BH885" t="s">
        <v>98</v>
      </c>
      <c r="BI885" t="s">
        <v>98</v>
      </c>
      <c r="BK885" t="s">
        <v>138</v>
      </c>
      <c r="BU885">
        <v>6</v>
      </c>
      <c r="BW885">
        <v>0.75</v>
      </c>
      <c r="BX885" t="s">
        <v>2443</v>
      </c>
      <c r="BY885" t="s">
        <v>291</v>
      </c>
      <c r="BZ885" t="s">
        <v>2456</v>
      </c>
      <c r="CA885" t="s">
        <v>2886</v>
      </c>
      <c r="CB885" t="s">
        <v>163</v>
      </c>
      <c r="CC885">
        <v>160</v>
      </c>
      <c r="CD885">
        <v>0.54</v>
      </c>
      <c r="CE885">
        <v>62</v>
      </c>
      <c r="CF885">
        <v>4901.03</v>
      </c>
      <c r="CL885" t="s">
        <v>291</v>
      </c>
      <c r="CM885" t="s">
        <v>291</v>
      </c>
      <c r="CO885" s="1">
        <v>40488</v>
      </c>
      <c r="CP885" s="1">
        <v>43595</v>
      </c>
    </row>
    <row r="886" spans="1:94" x14ac:dyDescent="0.25">
      <c r="A886" s="4" t="s">
        <v>2887</v>
      </c>
      <c r="B886" t="str">
        <f xml:space="preserve"> "" &amp; 706411040061</f>
        <v>706411040061</v>
      </c>
      <c r="C886" t="s">
        <v>2178</v>
      </c>
      <c r="D886" t="s">
        <v>2525</v>
      </c>
      <c r="E886" t="s">
        <v>2882</v>
      </c>
      <c r="F886" t="s">
        <v>2113</v>
      </c>
      <c r="G886">
        <v>1</v>
      </c>
      <c r="H886">
        <v>1</v>
      </c>
      <c r="I886" t="s">
        <v>97</v>
      </c>
      <c r="J886" s="32">
        <v>72.95</v>
      </c>
      <c r="K886" s="32">
        <v>218.85</v>
      </c>
      <c r="L886">
        <v>0</v>
      </c>
      <c r="N886">
        <v>0</v>
      </c>
      <c r="S886">
        <v>18</v>
      </c>
      <c r="T886">
        <v>52</v>
      </c>
      <c r="U886">
        <v>52</v>
      </c>
      <c r="W886">
        <v>15.83</v>
      </c>
      <c r="X886">
        <v>1</v>
      </c>
      <c r="Y886">
        <v>10.5</v>
      </c>
      <c r="Z886">
        <v>21</v>
      </c>
      <c r="AA886">
        <v>13.13</v>
      </c>
      <c r="AB886">
        <v>1.675</v>
      </c>
      <c r="AC886">
        <v>18.010000000000002</v>
      </c>
      <c r="AE886">
        <v>3</v>
      </c>
      <c r="AF886" t="s">
        <v>2883</v>
      </c>
      <c r="AG886">
        <v>60</v>
      </c>
      <c r="AK886" t="s">
        <v>291</v>
      </c>
      <c r="AM886" t="s">
        <v>98</v>
      </c>
      <c r="AN886" t="s">
        <v>98</v>
      </c>
      <c r="AO886" t="s">
        <v>291</v>
      </c>
      <c r="AP886" t="s">
        <v>99</v>
      </c>
      <c r="AQ886" t="s">
        <v>102</v>
      </c>
      <c r="AV886" t="s">
        <v>98</v>
      </c>
      <c r="AX886" t="s">
        <v>245</v>
      </c>
      <c r="BB886" t="s">
        <v>54</v>
      </c>
      <c r="BC886" t="s">
        <v>2884</v>
      </c>
      <c r="BF886" t="s">
        <v>2888</v>
      </c>
      <c r="BG886" t="s">
        <v>98</v>
      </c>
      <c r="BH886" t="s">
        <v>98</v>
      </c>
      <c r="BI886" t="s">
        <v>98</v>
      </c>
      <c r="BK886" t="s">
        <v>138</v>
      </c>
      <c r="BU886">
        <v>6</v>
      </c>
      <c r="BW886">
        <v>0.75</v>
      </c>
      <c r="BX886">
        <v>12</v>
      </c>
      <c r="BY886" t="s">
        <v>291</v>
      </c>
      <c r="BZ886" t="s">
        <v>2262</v>
      </c>
      <c r="CA886" t="s">
        <v>2886</v>
      </c>
      <c r="CB886" t="s">
        <v>245</v>
      </c>
      <c r="CC886">
        <v>160</v>
      </c>
      <c r="CD886">
        <v>0.54</v>
      </c>
      <c r="CE886">
        <v>62</v>
      </c>
      <c r="CF886">
        <v>4901.03</v>
      </c>
      <c r="CL886" t="s">
        <v>291</v>
      </c>
      <c r="CM886" t="s">
        <v>291</v>
      </c>
      <c r="CO886" s="1">
        <v>40488</v>
      </c>
      <c r="CP886" s="1">
        <v>43595</v>
      </c>
    </row>
    <row r="887" spans="1:94" x14ac:dyDescent="0.25">
      <c r="A887" s="4" t="s">
        <v>2889</v>
      </c>
      <c r="B887" t="str">
        <f xml:space="preserve"> "" &amp; 706411040245</f>
        <v>706411040245</v>
      </c>
      <c r="C887" t="s">
        <v>2178</v>
      </c>
      <c r="D887" t="s">
        <v>2525</v>
      </c>
      <c r="E887" t="s">
        <v>2882</v>
      </c>
      <c r="F887" t="s">
        <v>2113</v>
      </c>
      <c r="G887">
        <v>1</v>
      </c>
      <c r="H887">
        <v>1</v>
      </c>
      <c r="I887" t="s">
        <v>97</v>
      </c>
      <c r="J887" s="32">
        <v>72.95</v>
      </c>
      <c r="K887" s="32">
        <v>218.85</v>
      </c>
      <c r="L887">
        <v>0</v>
      </c>
      <c r="N887">
        <v>0</v>
      </c>
      <c r="S887">
        <v>18</v>
      </c>
      <c r="T887">
        <v>52</v>
      </c>
      <c r="U887">
        <v>52</v>
      </c>
      <c r="W887">
        <v>15.83</v>
      </c>
      <c r="X887">
        <v>1</v>
      </c>
      <c r="Y887">
        <v>10.5</v>
      </c>
      <c r="Z887">
        <v>21</v>
      </c>
      <c r="AA887">
        <v>13.13</v>
      </c>
      <c r="AB887">
        <v>1.675</v>
      </c>
      <c r="AC887">
        <v>18.010000000000002</v>
      </c>
      <c r="AE887">
        <v>3</v>
      </c>
      <c r="AF887" t="s">
        <v>2883</v>
      </c>
      <c r="AG887">
        <v>60</v>
      </c>
      <c r="AK887" t="s">
        <v>291</v>
      </c>
      <c r="AM887" t="s">
        <v>98</v>
      </c>
      <c r="AN887" t="s">
        <v>98</v>
      </c>
      <c r="AO887" t="s">
        <v>291</v>
      </c>
      <c r="AP887" t="s">
        <v>99</v>
      </c>
      <c r="AQ887" t="s">
        <v>102</v>
      </c>
      <c r="AV887" t="s">
        <v>98</v>
      </c>
      <c r="AX887" t="s">
        <v>245</v>
      </c>
      <c r="BB887" t="s">
        <v>54</v>
      </c>
      <c r="BC887" t="s">
        <v>2890</v>
      </c>
      <c r="BF887" t="s">
        <v>2891</v>
      </c>
      <c r="BG887" t="s">
        <v>98</v>
      </c>
      <c r="BH887" t="s">
        <v>98</v>
      </c>
      <c r="BI887" t="s">
        <v>98</v>
      </c>
      <c r="BK887" t="s">
        <v>138</v>
      </c>
      <c r="BU887">
        <v>6</v>
      </c>
      <c r="BW887">
        <v>0.75</v>
      </c>
      <c r="BX887" t="s">
        <v>2443</v>
      </c>
      <c r="BY887" t="s">
        <v>291</v>
      </c>
      <c r="BZ887" t="s">
        <v>2262</v>
      </c>
      <c r="CA887" t="s">
        <v>2886</v>
      </c>
      <c r="CB887" t="s">
        <v>245</v>
      </c>
      <c r="CC887">
        <v>160</v>
      </c>
      <c r="CD887">
        <v>0.54</v>
      </c>
      <c r="CE887">
        <v>62</v>
      </c>
      <c r="CF887">
        <v>4901.03</v>
      </c>
      <c r="CL887" t="s">
        <v>291</v>
      </c>
      <c r="CM887" t="s">
        <v>291</v>
      </c>
      <c r="CO887" s="1">
        <v>40488</v>
      </c>
      <c r="CP887" s="1">
        <v>43595</v>
      </c>
    </row>
    <row r="888" spans="1:94" x14ac:dyDescent="0.25">
      <c r="A888" s="4" t="s">
        <v>2892</v>
      </c>
      <c r="B888" t="str">
        <f xml:space="preserve"> "" &amp; 706411040054</f>
        <v>706411040054</v>
      </c>
      <c r="C888" t="s">
        <v>2178</v>
      </c>
      <c r="D888" t="s">
        <v>2525</v>
      </c>
      <c r="E888" t="s">
        <v>2882</v>
      </c>
      <c r="F888" t="s">
        <v>2113</v>
      </c>
      <c r="G888">
        <v>1</v>
      </c>
      <c r="H888">
        <v>1</v>
      </c>
      <c r="I888" t="s">
        <v>97</v>
      </c>
      <c r="J888" s="32">
        <v>72.95</v>
      </c>
      <c r="K888" s="32">
        <v>218.85</v>
      </c>
      <c r="L888">
        <v>0</v>
      </c>
      <c r="N888">
        <v>0</v>
      </c>
      <c r="S888">
        <v>18</v>
      </c>
      <c r="T888">
        <v>52</v>
      </c>
      <c r="U888">
        <v>52</v>
      </c>
      <c r="W888">
        <v>15.83</v>
      </c>
      <c r="X888">
        <v>1</v>
      </c>
      <c r="Y888">
        <v>10.5</v>
      </c>
      <c r="Z888">
        <v>21</v>
      </c>
      <c r="AA888">
        <v>13.13</v>
      </c>
      <c r="AB888">
        <v>1.675</v>
      </c>
      <c r="AC888">
        <v>18.010000000000002</v>
      </c>
      <c r="AE888">
        <v>3</v>
      </c>
      <c r="AF888" t="s">
        <v>2883</v>
      </c>
      <c r="AG888">
        <v>60</v>
      </c>
      <c r="AK888" t="s">
        <v>291</v>
      </c>
      <c r="AM888" t="s">
        <v>98</v>
      </c>
      <c r="AN888" t="s">
        <v>98</v>
      </c>
      <c r="AO888" t="s">
        <v>291</v>
      </c>
      <c r="AP888" t="s">
        <v>99</v>
      </c>
      <c r="AQ888" t="s">
        <v>102</v>
      </c>
      <c r="AV888" t="s">
        <v>98</v>
      </c>
      <c r="AX888" t="s">
        <v>302</v>
      </c>
      <c r="BB888" t="s">
        <v>54</v>
      </c>
      <c r="BC888" t="s">
        <v>2884</v>
      </c>
      <c r="BF888" t="s">
        <v>2893</v>
      </c>
      <c r="BG888" t="s">
        <v>98</v>
      </c>
      <c r="BH888" t="s">
        <v>98</v>
      </c>
      <c r="BI888" t="s">
        <v>98</v>
      </c>
      <c r="BK888" t="s">
        <v>138</v>
      </c>
      <c r="BU888">
        <v>6</v>
      </c>
      <c r="BW888">
        <v>0.75</v>
      </c>
      <c r="BX888">
        <v>12</v>
      </c>
      <c r="BY888" t="s">
        <v>291</v>
      </c>
      <c r="BZ888" t="s">
        <v>2147</v>
      </c>
      <c r="CA888" t="s">
        <v>2886</v>
      </c>
      <c r="CB888" t="s">
        <v>302</v>
      </c>
      <c r="CC888">
        <v>160</v>
      </c>
      <c r="CD888">
        <v>0.54</v>
      </c>
      <c r="CE888">
        <v>62</v>
      </c>
      <c r="CF888">
        <v>4901.03</v>
      </c>
      <c r="CL888" t="s">
        <v>291</v>
      </c>
      <c r="CM888" t="s">
        <v>291</v>
      </c>
      <c r="CO888" s="1">
        <v>40488</v>
      </c>
      <c r="CP888" s="1">
        <v>43595</v>
      </c>
    </row>
    <row r="889" spans="1:94" x14ac:dyDescent="0.25">
      <c r="A889" s="4" t="s">
        <v>2894</v>
      </c>
      <c r="B889" t="str">
        <f xml:space="preserve"> "" &amp; 706411054174</f>
        <v>706411054174</v>
      </c>
      <c r="C889" t="s">
        <v>2216</v>
      </c>
      <c r="D889" t="s">
        <v>2895</v>
      </c>
      <c r="E889" t="s">
        <v>2896</v>
      </c>
      <c r="F889" t="s">
        <v>2113</v>
      </c>
      <c r="G889">
        <v>1</v>
      </c>
      <c r="H889">
        <v>1</v>
      </c>
      <c r="I889" t="s">
        <v>97</v>
      </c>
      <c r="J889" s="32">
        <v>89.95</v>
      </c>
      <c r="K889" s="32">
        <v>269.85000000000002</v>
      </c>
      <c r="L889">
        <v>0</v>
      </c>
      <c r="N889">
        <v>0</v>
      </c>
      <c r="Q889" t="s">
        <v>291</v>
      </c>
      <c r="R889" s="32">
        <v>149.94999999999999</v>
      </c>
      <c r="S889">
        <v>14.5</v>
      </c>
      <c r="T889">
        <v>52</v>
      </c>
      <c r="U889">
        <v>52</v>
      </c>
      <c r="W889">
        <v>19.14</v>
      </c>
      <c r="X889">
        <v>1</v>
      </c>
      <c r="Y889">
        <v>8.6300000000000008</v>
      </c>
      <c r="Z889">
        <v>26.5</v>
      </c>
      <c r="AA889">
        <v>14.25</v>
      </c>
      <c r="AB889">
        <v>1.8859999999999999</v>
      </c>
      <c r="AC889">
        <v>22.42</v>
      </c>
      <c r="AE889">
        <v>1</v>
      </c>
      <c r="AF889" t="s">
        <v>2141</v>
      </c>
      <c r="AG889">
        <v>26</v>
      </c>
      <c r="AK889" t="s">
        <v>291</v>
      </c>
      <c r="AM889" t="s">
        <v>98</v>
      </c>
      <c r="AN889" t="s">
        <v>291</v>
      </c>
      <c r="AO889" t="s">
        <v>98</v>
      </c>
      <c r="AP889" t="s">
        <v>99</v>
      </c>
      <c r="AQ889" t="s">
        <v>102</v>
      </c>
      <c r="AV889" t="s">
        <v>98</v>
      </c>
      <c r="AX889" t="s">
        <v>2565</v>
      </c>
      <c r="AZ889" t="s">
        <v>109</v>
      </c>
      <c r="BB889" t="s">
        <v>106</v>
      </c>
      <c r="BC889" t="s">
        <v>2339</v>
      </c>
      <c r="BF889" t="s">
        <v>2897</v>
      </c>
      <c r="BG889" t="s">
        <v>98</v>
      </c>
      <c r="BH889" t="s">
        <v>98</v>
      </c>
      <c r="BI889" t="s">
        <v>98</v>
      </c>
      <c r="BK889" t="s">
        <v>138</v>
      </c>
      <c r="BU889">
        <v>6</v>
      </c>
      <c r="BW889">
        <v>0.75</v>
      </c>
      <c r="BX889" t="s">
        <v>2121</v>
      </c>
      <c r="BY889" t="s">
        <v>291</v>
      </c>
      <c r="BZ889" t="s">
        <v>2143</v>
      </c>
      <c r="CA889" t="s">
        <v>2898</v>
      </c>
      <c r="CB889" t="s">
        <v>2565</v>
      </c>
      <c r="CC889">
        <v>198</v>
      </c>
      <c r="CD889">
        <v>0.60399999999999998</v>
      </c>
      <c r="CE889">
        <v>72.239999999999995</v>
      </c>
      <c r="CF889">
        <v>5089.59</v>
      </c>
      <c r="CG889">
        <v>3000</v>
      </c>
      <c r="CH889">
        <v>83</v>
      </c>
      <c r="CI889">
        <v>2223</v>
      </c>
      <c r="CJ889">
        <v>1305</v>
      </c>
      <c r="CK889">
        <v>30000</v>
      </c>
      <c r="CL889" t="s">
        <v>98</v>
      </c>
      <c r="CM889" t="s">
        <v>291</v>
      </c>
      <c r="CN889" t="s">
        <v>2899</v>
      </c>
      <c r="CO889" s="1">
        <v>42352</v>
      </c>
      <c r="CP889" s="1">
        <v>43595</v>
      </c>
    </row>
    <row r="890" spans="1:94" x14ac:dyDescent="0.25">
      <c r="A890" s="4" t="s">
        <v>2900</v>
      </c>
      <c r="B890" t="str">
        <f xml:space="preserve"> "" &amp; 706411061950</f>
        <v>706411061950</v>
      </c>
      <c r="C890" t="s">
        <v>2126</v>
      </c>
      <c r="D890" t="s">
        <v>2895</v>
      </c>
      <c r="E890" t="s">
        <v>2896</v>
      </c>
      <c r="F890" t="s">
        <v>2113</v>
      </c>
      <c r="G890">
        <v>1</v>
      </c>
      <c r="H890">
        <v>1</v>
      </c>
      <c r="I890" t="s">
        <v>97</v>
      </c>
      <c r="J890" s="32">
        <v>99.95</v>
      </c>
      <c r="K890" s="32">
        <v>299.85000000000002</v>
      </c>
      <c r="L890">
        <v>0</v>
      </c>
      <c r="N890">
        <v>0</v>
      </c>
      <c r="Q890" t="s">
        <v>291</v>
      </c>
      <c r="R890" s="32">
        <v>149.94999999999999</v>
      </c>
      <c r="S890">
        <v>14.5</v>
      </c>
      <c r="T890">
        <v>52</v>
      </c>
      <c r="U890">
        <v>52</v>
      </c>
      <c r="W890">
        <v>19.14</v>
      </c>
      <c r="X890">
        <v>1</v>
      </c>
      <c r="Y890">
        <v>8.6300000000000008</v>
      </c>
      <c r="Z890">
        <v>26.5</v>
      </c>
      <c r="AA890">
        <v>14.25</v>
      </c>
      <c r="AB890">
        <v>1.8859999999999999</v>
      </c>
      <c r="AC890">
        <v>22.42</v>
      </c>
      <c r="AE890">
        <v>1</v>
      </c>
      <c r="AF890" t="s">
        <v>2901</v>
      </c>
      <c r="AG890">
        <v>26</v>
      </c>
      <c r="AK890" t="s">
        <v>291</v>
      </c>
      <c r="AM890" t="s">
        <v>98</v>
      </c>
      <c r="AN890" t="s">
        <v>291</v>
      </c>
      <c r="AO890" t="s">
        <v>98</v>
      </c>
      <c r="AP890" t="s">
        <v>99</v>
      </c>
      <c r="AQ890" t="s">
        <v>102</v>
      </c>
      <c r="AV890" t="s">
        <v>98</v>
      </c>
      <c r="AX890" t="s">
        <v>154</v>
      </c>
      <c r="AZ890" t="s">
        <v>109</v>
      </c>
      <c r="BC890" t="s">
        <v>2339</v>
      </c>
      <c r="BF890" t="s">
        <v>2902</v>
      </c>
      <c r="BG890" t="s">
        <v>98</v>
      </c>
      <c r="BH890" t="s">
        <v>98</v>
      </c>
      <c r="BI890" t="s">
        <v>98</v>
      </c>
      <c r="BK890" t="s">
        <v>138</v>
      </c>
      <c r="BU890">
        <v>6</v>
      </c>
      <c r="BW890">
        <v>0.75</v>
      </c>
      <c r="BX890" t="s">
        <v>2121</v>
      </c>
      <c r="BY890" t="s">
        <v>291</v>
      </c>
      <c r="BZ890" t="s">
        <v>2135</v>
      </c>
      <c r="CA890" t="s">
        <v>2903</v>
      </c>
      <c r="CB890" t="s">
        <v>154</v>
      </c>
      <c r="CC890">
        <v>212</v>
      </c>
      <c r="CD890">
        <v>0.61</v>
      </c>
      <c r="CE890">
        <v>73.12</v>
      </c>
      <c r="CF890">
        <v>5142</v>
      </c>
      <c r="CG890">
        <v>3000</v>
      </c>
      <c r="CH890">
        <v>83</v>
      </c>
      <c r="CI890">
        <v>2222.6999999999998</v>
      </c>
      <c r="CJ890">
        <v>1304.5</v>
      </c>
      <c r="CK890">
        <v>30000</v>
      </c>
      <c r="CL890" t="s">
        <v>98</v>
      </c>
      <c r="CM890" t="s">
        <v>291</v>
      </c>
      <c r="CN890" t="s">
        <v>2904</v>
      </c>
      <c r="CO890" s="1">
        <v>43539</v>
      </c>
      <c r="CP890" s="1">
        <v>43595</v>
      </c>
    </row>
    <row r="891" spans="1:94" x14ac:dyDescent="0.25">
      <c r="A891" s="4" t="s">
        <v>2905</v>
      </c>
      <c r="B891" t="str">
        <f xml:space="preserve"> "" &amp; 706411060793</f>
        <v>706411060793</v>
      </c>
      <c r="C891" t="s">
        <v>2216</v>
      </c>
      <c r="D891" t="s">
        <v>2895</v>
      </c>
      <c r="E891" t="s">
        <v>2896</v>
      </c>
      <c r="F891" t="s">
        <v>2113</v>
      </c>
      <c r="G891">
        <v>1</v>
      </c>
      <c r="H891">
        <v>1</v>
      </c>
      <c r="I891" t="s">
        <v>97</v>
      </c>
      <c r="J891" s="32">
        <v>89.95</v>
      </c>
      <c r="K891" s="32">
        <v>269.85000000000002</v>
      </c>
      <c r="L891">
        <v>0</v>
      </c>
      <c r="N891">
        <v>0</v>
      </c>
      <c r="Q891" t="s">
        <v>291</v>
      </c>
      <c r="R891" s="32">
        <v>149.94999999999999</v>
      </c>
      <c r="S891">
        <v>14.5</v>
      </c>
      <c r="T891">
        <v>52</v>
      </c>
      <c r="U891">
        <v>52</v>
      </c>
      <c r="W891">
        <v>19.14</v>
      </c>
      <c r="X891">
        <v>1</v>
      </c>
      <c r="Y891">
        <v>8.6300000000000008</v>
      </c>
      <c r="Z891">
        <v>26.5</v>
      </c>
      <c r="AA891">
        <v>14.25</v>
      </c>
      <c r="AB891">
        <v>1.8859999999999999</v>
      </c>
      <c r="AC891">
        <v>22.42</v>
      </c>
      <c r="AE891">
        <v>1</v>
      </c>
      <c r="AF891" t="s">
        <v>2141</v>
      </c>
      <c r="AG891">
        <v>26</v>
      </c>
      <c r="AK891" t="s">
        <v>291</v>
      </c>
      <c r="AM891" t="s">
        <v>98</v>
      </c>
      <c r="AN891" t="s">
        <v>291</v>
      </c>
      <c r="AO891" t="s">
        <v>98</v>
      </c>
      <c r="AP891" t="s">
        <v>99</v>
      </c>
      <c r="AQ891" t="s">
        <v>102</v>
      </c>
      <c r="AV891" t="s">
        <v>98</v>
      </c>
      <c r="AX891" t="s">
        <v>179</v>
      </c>
      <c r="AZ891" t="s">
        <v>109</v>
      </c>
      <c r="BB891" t="s">
        <v>106</v>
      </c>
      <c r="BC891" t="s">
        <v>2339</v>
      </c>
      <c r="BF891" t="s">
        <v>2906</v>
      </c>
      <c r="BG891" t="s">
        <v>98</v>
      </c>
      <c r="BH891" t="s">
        <v>98</v>
      </c>
      <c r="BI891" t="s">
        <v>98</v>
      </c>
      <c r="BK891" t="s">
        <v>138</v>
      </c>
      <c r="BU891">
        <v>6</v>
      </c>
      <c r="BW891">
        <v>0.75</v>
      </c>
      <c r="BX891" t="s">
        <v>2121</v>
      </c>
      <c r="BY891" t="s">
        <v>291</v>
      </c>
      <c r="BZ891" t="s">
        <v>179</v>
      </c>
      <c r="CA891" t="s">
        <v>2903</v>
      </c>
      <c r="CB891" t="s">
        <v>179</v>
      </c>
      <c r="CC891">
        <v>198</v>
      </c>
      <c r="CD891">
        <v>0.60399999999999998</v>
      </c>
      <c r="CE891">
        <v>72.239999999999995</v>
      </c>
      <c r="CF891">
        <v>5089.59</v>
      </c>
      <c r="CG891">
        <v>3000</v>
      </c>
      <c r="CH891">
        <v>83</v>
      </c>
      <c r="CI891">
        <v>2223</v>
      </c>
      <c r="CJ891">
        <v>1305</v>
      </c>
      <c r="CK891">
        <v>30000</v>
      </c>
      <c r="CL891" t="s">
        <v>98</v>
      </c>
      <c r="CM891" t="s">
        <v>291</v>
      </c>
      <c r="CN891" t="s">
        <v>2904</v>
      </c>
      <c r="CO891" s="1">
        <v>43257</v>
      </c>
      <c r="CP891" s="1">
        <v>43595</v>
      </c>
    </row>
    <row r="892" spans="1:94" x14ac:dyDescent="0.25">
      <c r="A892" s="4" t="s">
        <v>2907</v>
      </c>
      <c r="B892" t="str">
        <f xml:space="preserve"> "" &amp; 706411061967</f>
        <v>706411061967</v>
      </c>
      <c r="C892" t="s">
        <v>2126</v>
      </c>
      <c r="D892" t="s">
        <v>2895</v>
      </c>
      <c r="E892" t="s">
        <v>2896</v>
      </c>
      <c r="F892" t="s">
        <v>2113</v>
      </c>
      <c r="G892">
        <v>1</v>
      </c>
      <c r="H892">
        <v>1</v>
      </c>
      <c r="I892" t="s">
        <v>97</v>
      </c>
      <c r="J892" s="32">
        <v>99.95</v>
      </c>
      <c r="K892" s="32">
        <v>299.85000000000002</v>
      </c>
      <c r="L892">
        <v>0</v>
      </c>
      <c r="N892">
        <v>0</v>
      </c>
      <c r="Q892" t="s">
        <v>291</v>
      </c>
      <c r="R892" s="32">
        <v>149.94999999999999</v>
      </c>
      <c r="S892">
        <v>14.5</v>
      </c>
      <c r="T892">
        <v>52</v>
      </c>
      <c r="U892">
        <v>52</v>
      </c>
      <c r="W892">
        <v>19.14</v>
      </c>
      <c r="X892">
        <v>1</v>
      </c>
      <c r="Y892">
        <v>8.6300000000000008</v>
      </c>
      <c r="Z892">
        <v>26.5</v>
      </c>
      <c r="AA892">
        <v>14.25</v>
      </c>
      <c r="AB892">
        <v>1.8859999999999999</v>
      </c>
      <c r="AC892">
        <v>22.42</v>
      </c>
      <c r="AE892">
        <v>1</v>
      </c>
      <c r="AF892" t="s">
        <v>2908</v>
      </c>
      <c r="AG892">
        <v>26</v>
      </c>
      <c r="AK892" t="s">
        <v>291</v>
      </c>
      <c r="AM892" t="s">
        <v>98</v>
      </c>
      <c r="AN892" t="s">
        <v>291</v>
      </c>
      <c r="AO892" t="s">
        <v>98</v>
      </c>
      <c r="AP892" t="s">
        <v>99</v>
      </c>
      <c r="AQ892" t="s">
        <v>102</v>
      </c>
      <c r="AV892" t="s">
        <v>98</v>
      </c>
      <c r="AX892" t="s">
        <v>209</v>
      </c>
      <c r="AZ892" t="s">
        <v>109</v>
      </c>
      <c r="BC892" t="s">
        <v>2339</v>
      </c>
      <c r="BF892" t="s">
        <v>2909</v>
      </c>
      <c r="BG892" t="s">
        <v>98</v>
      </c>
      <c r="BH892" t="s">
        <v>98</v>
      </c>
      <c r="BI892" t="s">
        <v>98</v>
      </c>
      <c r="BK892" t="s">
        <v>138</v>
      </c>
      <c r="BU892">
        <v>6</v>
      </c>
      <c r="BW892">
        <v>0.75</v>
      </c>
      <c r="BX892" t="s">
        <v>2121</v>
      </c>
      <c r="BY892" t="s">
        <v>291</v>
      </c>
      <c r="BZ892" t="s">
        <v>2138</v>
      </c>
      <c r="CA892" t="s">
        <v>2903</v>
      </c>
      <c r="CB892" t="s">
        <v>209</v>
      </c>
      <c r="CC892">
        <v>212</v>
      </c>
      <c r="CD892">
        <v>0.61</v>
      </c>
      <c r="CE892">
        <v>73.12</v>
      </c>
      <c r="CF892">
        <v>5142</v>
      </c>
      <c r="CG892">
        <v>3000</v>
      </c>
      <c r="CH892">
        <v>83</v>
      </c>
      <c r="CI892">
        <v>2222.6999999999998</v>
      </c>
      <c r="CJ892">
        <v>1304.5</v>
      </c>
      <c r="CK892">
        <v>30000</v>
      </c>
      <c r="CL892" t="s">
        <v>98</v>
      </c>
      <c r="CM892" t="s">
        <v>291</v>
      </c>
      <c r="CN892" t="s">
        <v>2899</v>
      </c>
      <c r="CO892" s="1">
        <v>43542</v>
      </c>
      <c r="CP892" s="1">
        <v>43595</v>
      </c>
    </row>
    <row r="893" spans="1:94" x14ac:dyDescent="0.25">
      <c r="A893" s="4" t="s">
        <v>2910</v>
      </c>
      <c r="B893" t="str">
        <f xml:space="preserve"> "" &amp; 706411054181</f>
        <v>706411054181</v>
      </c>
      <c r="C893" t="s">
        <v>2216</v>
      </c>
      <c r="D893" t="s">
        <v>2895</v>
      </c>
      <c r="E893" t="s">
        <v>2896</v>
      </c>
      <c r="F893" t="s">
        <v>2113</v>
      </c>
      <c r="G893">
        <v>1</v>
      </c>
      <c r="H893">
        <v>1</v>
      </c>
      <c r="I893" t="s">
        <v>97</v>
      </c>
      <c r="J893" s="32">
        <v>89.95</v>
      </c>
      <c r="K893" s="32">
        <v>269.85000000000002</v>
      </c>
      <c r="L893">
        <v>0</v>
      </c>
      <c r="N893">
        <v>0</v>
      </c>
      <c r="Q893" t="s">
        <v>291</v>
      </c>
      <c r="R893" s="32">
        <v>149.94999999999999</v>
      </c>
      <c r="S893">
        <v>14.5</v>
      </c>
      <c r="T893">
        <v>52</v>
      </c>
      <c r="U893">
        <v>52</v>
      </c>
      <c r="W893">
        <v>19.14</v>
      </c>
      <c r="X893">
        <v>1</v>
      </c>
      <c r="Y893">
        <v>8.6300000000000008</v>
      </c>
      <c r="Z893">
        <v>26.5</v>
      </c>
      <c r="AA893">
        <v>14.25</v>
      </c>
      <c r="AB893">
        <v>1.8859999999999999</v>
      </c>
      <c r="AC893">
        <v>22.42</v>
      </c>
      <c r="AE893">
        <v>1</v>
      </c>
      <c r="AF893" t="s">
        <v>2141</v>
      </c>
      <c r="AG893">
        <v>26</v>
      </c>
      <c r="AK893" t="s">
        <v>291</v>
      </c>
      <c r="AM893" t="s">
        <v>98</v>
      </c>
      <c r="AN893" t="s">
        <v>291</v>
      </c>
      <c r="AO893" t="s">
        <v>98</v>
      </c>
      <c r="AP893" t="s">
        <v>99</v>
      </c>
      <c r="AQ893" t="s">
        <v>102</v>
      </c>
      <c r="AV893" t="s">
        <v>98</v>
      </c>
      <c r="AX893" t="s">
        <v>245</v>
      </c>
      <c r="AZ893" t="s">
        <v>109</v>
      </c>
      <c r="BB893" t="s">
        <v>106</v>
      </c>
      <c r="BC893" t="s">
        <v>2339</v>
      </c>
      <c r="BF893" t="s">
        <v>2911</v>
      </c>
      <c r="BG893" t="s">
        <v>98</v>
      </c>
      <c r="BH893" t="s">
        <v>98</v>
      </c>
      <c r="BI893" t="s">
        <v>98</v>
      </c>
      <c r="BK893" t="s">
        <v>138</v>
      </c>
      <c r="BU893">
        <v>6</v>
      </c>
      <c r="BW893">
        <v>0.75</v>
      </c>
      <c r="BX893" t="s">
        <v>2121</v>
      </c>
      <c r="BY893" t="s">
        <v>291</v>
      </c>
      <c r="BZ893" t="s">
        <v>2143</v>
      </c>
      <c r="CA893" t="s">
        <v>2898</v>
      </c>
      <c r="CB893" t="s">
        <v>245</v>
      </c>
      <c r="CC893">
        <v>198</v>
      </c>
      <c r="CD893">
        <v>0.60399999999999998</v>
      </c>
      <c r="CE893">
        <v>72.239999999999995</v>
      </c>
      <c r="CF893">
        <v>5089.59</v>
      </c>
      <c r="CG893">
        <v>3000</v>
      </c>
      <c r="CH893">
        <v>83</v>
      </c>
      <c r="CI893">
        <v>2223</v>
      </c>
      <c r="CJ893">
        <v>1305</v>
      </c>
      <c r="CK893">
        <v>30000</v>
      </c>
      <c r="CL893" t="s">
        <v>98</v>
      </c>
      <c r="CM893" t="s">
        <v>291</v>
      </c>
      <c r="CN893" t="s">
        <v>2899</v>
      </c>
      <c r="CO893" s="1">
        <v>42352</v>
      </c>
      <c r="CP893" s="1">
        <v>43595</v>
      </c>
    </row>
    <row r="894" spans="1:94" x14ac:dyDescent="0.25">
      <c r="A894" s="4" t="s">
        <v>2912</v>
      </c>
      <c r="B894" t="str">
        <f xml:space="preserve"> "" &amp; 706411055119</f>
        <v>706411055119</v>
      </c>
      <c r="C894" t="s">
        <v>2216</v>
      </c>
      <c r="D894" t="s">
        <v>2895</v>
      </c>
      <c r="E894" t="s">
        <v>2896</v>
      </c>
      <c r="F894" t="s">
        <v>2113</v>
      </c>
      <c r="G894">
        <v>1</v>
      </c>
      <c r="H894">
        <v>1</v>
      </c>
      <c r="I894" t="s">
        <v>97</v>
      </c>
      <c r="J894" s="32">
        <v>89.95</v>
      </c>
      <c r="K894" s="32">
        <v>269.85000000000002</v>
      </c>
      <c r="L894">
        <v>0</v>
      </c>
      <c r="N894">
        <v>0</v>
      </c>
      <c r="Q894" t="s">
        <v>291</v>
      </c>
      <c r="R894" s="32">
        <v>149.94999999999999</v>
      </c>
      <c r="S894">
        <v>14.5</v>
      </c>
      <c r="T894">
        <v>52</v>
      </c>
      <c r="U894">
        <v>52</v>
      </c>
      <c r="W894">
        <v>19.14</v>
      </c>
      <c r="X894">
        <v>1</v>
      </c>
      <c r="Y894">
        <v>8.6300000000000008</v>
      </c>
      <c r="Z894">
        <v>26.5</v>
      </c>
      <c r="AA894">
        <v>14.25</v>
      </c>
      <c r="AB894">
        <v>1.8859999999999999</v>
      </c>
      <c r="AC894">
        <v>22.42</v>
      </c>
      <c r="AE894">
        <v>1</v>
      </c>
      <c r="AF894" t="s">
        <v>2141</v>
      </c>
      <c r="AG894">
        <v>26</v>
      </c>
      <c r="AK894" t="s">
        <v>291</v>
      </c>
      <c r="AM894" t="s">
        <v>98</v>
      </c>
      <c r="AN894" t="s">
        <v>291</v>
      </c>
      <c r="AO894" t="s">
        <v>98</v>
      </c>
      <c r="AP894" t="s">
        <v>99</v>
      </c>
      <c r="AQ894" t="s">
        <v>102</v>
      </c>
      <c r="AV894" t="s">
        <v>98</v>
      </c>
      <c r="AX894" t="s">
        <v>257</v>
      </c>
      <c r="AZ894" t="s">
        <v>109</v>
      </c>
      <c r="BB894" t="s">
        <v>106</v>
      </c>
      <c r="BC894" t="s">
        <v>2339</v>
      </c>
      <c r="BF894" t="s">
        <v>2913</v>
      </c>
      <c r="BG894" t="s">
        <v>98</v>
      </c>
      <c r="BH894" t="s">
        <v>98</v>
      </c>
      <c r="BI894" t="s">
        <v>98</v>
      </c>
      <c r="BK894" t="s">
        <v>138</v>
      </c>
      <c r="BU894">
        <v>6</v>
      </c>
      <c r="BW894">
        <v>0.75</v>
      </c>
      <c r="BX894" t="s">
        <v>2121</v>
      </c>
      <c r="BY894" t="s">
        <v>291</v>
      </c>
      <c r="BZ894" t="s">
        <v>441</v>
      </c>
      <c r="CA894" t="s">
        <v>2903</v>
      </c>
      <c r="CB894" t="s">
        <v>257</v>
      </c>
      <c r="CC894">
        <v>198</v>
      </c>
      <c r="CD894">
        <v>0.60399999999999998</v>
      </c>
      <c r="CE894">
        <v>72.239999999999995</v>
      </c>
      <c r="CF894">
        <v>5089.59</v>
      </c>
      <c r="CG894">
        <v>3000</v>
      </c>
      <c r="CH894">
        <v>82</v>
      </c>
      <c r="CI894">
        <v>2329</v>
      </c>
      <c r="CJ894">
        <v>1647</v>
      </c>
      <c r="CK894">
        <v>30000</v>
      </c>
      <c r="CL894" t="s">
        <v>98</v>
      </c>
      <c r="CM894" t="s">
        <v>291</v>
      </c>
      <c r="CN894" t="s">
        <v>2904</v>
      </c>
      <c r="CO894" s="1">
        <v>42536</v>
      </c>
      <c r="CP894" s="1">
        <v>43595</v>
      </c>
    </row>
    <row r="895" spans="1:94" x14ac:dyDescent="0.25">
      <c r="A895" s="4" t="s">
        <v>2914</v>
      </c>
      <c r="B895" t="str">
        <f xml:space="preserve"> "" &amp; 706411054198</f>
        <v>706411054198</v>
      </c>
      <c r="C895" t="s">
        <v>2216</v>
      </c>
      <c r="D895" t="s">
        <v>2895</v>
      </c>
      <c r="E895" t="s">
        <v>2896</v>
      </c>
      <c r="F895" t="s">
        <v>2113</v>
      </c>
      <c r="G895">
        <v>1</v>
      </c>
      <c r="H895">
        <v>1</v>
      </c>
      <c r="I895" t="s">
        <v>97</v>
      </c>
      <c r="J895" s="32">
        <v>89.95</v>
      </c>
      <c r="K895" s="32">
        <v>269.85000000000002</v>
      </c>
      <c r="L895">
        <v>0</v>
      </c>
      <c r="N895">
        <v>0</v>
      </c>
      <c r="Q895" t="s">
        <v>291</v>
      </c>
      <c r="R895" s="32">
        <v>149.94999999999999</v>
      </c>
      <c r="S895">
        <v>14.5</v>
      </c>
      <c r="T895">
        <v>52</v>
      </c>
      <c r="U895">
        <v>52</v>
      </c>
      <c r="W895">
        <v>19.14</v>
      </c>
      <c r="X895">
        <v>1</v>
      </c>
      <c r="Y895">
        <v>8.6300000000000008</v>
      </c>
      <c r="Z895">
        <v>26.5</v>
      </c>
      <c r="AA895">
        <v>14.25</v>
      </c>
      <c r="AB895">
        <v>1.8859999999999999</v>
      </c>
      <c r="AC895">
        <v>22.42</v>
      </c>
      <c r="AE895">
        <v>1</v>
      </c>
      <c r="AF895" t="s">
        <v>2141</v>
      </c>
      <c r="AG895">
        <v>26</v>
      </c>
      <c r="AK895" t="s">
        <v>291</v>
      </c>
      <c r="AM895" t="s">
        <v>98</v>
      </c>
      <c r="AN895" t="s">
        <v>291</v>
      </c>
      <c r="AO895" t="s">
        <v>98</v>
      </c>
      <c r="AP895" t="s">
        <v>99</v>
      </c>
      <c r="AQ895" t="s">
        <v>102</v>
      </c>
      <c r="AV895" t="s">
        <v>98</v>
      </c>
      <c r="AX895" t="s">
        <v>302</v>
      </c>
      <c r="AZ895" t="s">
        <v>109</v>
      </c>
      <c r="BB895" t="s">
        <v>106</v>
      </c>
      <c r="BC895" t="s">
        <v>2339</v>
      </c>
      <c r="BF895" t="s">
        <v>2915</v>
      </c>
      <c r="BG895" t="s">
        <v>98</v>
      </c>
      <c r="BH895" t="s">
        <v>98</v>
      </c>
      <c r="BI895" t="s">
        <v>98</v>
      </c>
      <c r="BK895" t="s">
        <v>138</v>
      </c>
      <c r="BU895">
        <v>6</v>
      </c>
      <c r="BW895">
        <v>0.75</v>
      </c>
      <c r="BX895" t="s">
        <v>2121</v>
      </c>
      <c r="BY895" t="s">
        <v>291</v>
      </c>
      <c r="BZ895" t="s">
        <v>302</v>
      </c>
      <c r="CA895" t="s">
        <v>2898</v>
      </c>
      <c r="CB895" t="s">
        <v>302</v>
      </c>
      <c r="CC895">
        <v>198</v>
      </c>
      <c r="CD895">
        <v>0.60399999999999998</v>
      </c>
      <c r="CE895">
        <v>72.239999999999995</v>
      </c>
      <c r="CF895">
        <v>5089.59</v>
      </c>
      <c r="CG895">
        <v>3000</v>
      </c>
      <c r="CH895">
        <v>82</v>
      </c>
      <c r="CI895">
        <v>2329.1999999999998</v>
      </c>
      <c r="CJ895">
        <v>1647</v>
      </c>
      <c r="CK895">
        <v>30000</v>
      </c>
      <c r="CL895" t="s">
        <v>98</v>
      </c>
      <c r="CM895" t="s">
        <v>291</v>
      </c>
      <c r="CN895" t="s">
        <v>2899</v>
      </c>
      <c r="CO895" s="1">
        <v>42352</v>
      </c>
      <c r="CP895" s="1">
        <v>43595</v>
      </c>
    </row>
    <row r="896" spans="1:94" x14ac:dyDescent="0.25">
      <c r="A896" s="4" t="s">
        <v>2916</v>
      </c>
      <c r="B896" t="str">
        <f xml:space="preserve"> "" &amp; 706411040108</f>
        <v>706411040108</v>
      </c>
      <c r="C896" t="s">
        <v>2178</v>
      </c>
      <c r="D896" t="s">
        <v>2917</v>
      </c>
      <c r="E896" t="s">
        <v>2918</v>
      </c>
      <c r="F896" t="s">
        <v>2113</v>
      </c>
      <c r="G896">
        <v>1</v>
      </c>
      <c r="H896">
        <v>1</v>
      </c>
      <c r="I896" t="s">
        <v>97</v>
      </c>
      <c r="J896" s="32">
        <v>119.95</v>
      </c>
      <c r="K896" s="32">
        <v>359.85</v>
      </c>
      <c r="L896">
        <v>0</v>
      </c>
      <c r="N896">
        <v>0</v>
      </c>
      <c r="Q896" t="s">
        <v>291</v>
      </c>
      <c r="R896" s="32">
        <v>209.95</v>
      </c>
      <c r="S896">
        <v>14</v>
      </c>
      <c r="T896">
        <v>54</v>
      </c>
      <c r="U896">
        <v>54</v>
      </c>
      <c r="W896">
        <v>23.15</v>
      </c>
      <c r="X896">
        <v>1</v>
      </c>
      <c r="Y896">
        <v>10.63</v>
      </c>
      <c r="Z896">
        <v>20.75</v>
      </c>
      <c r="AA896">
        <v>15</v>
      </c>
      <c r="AB896">
        <v>1.915</v>
      </c>
      <c r="AC896">
        <v>26.46</v>
      </c>
      <c r="AK896" t="s">
        <v>98</v>
      </c>
      <c r="AM896" t="s">
        <v>98</v>
      </c>
      <c r="AN896" t="s">
        <v>291</v>
      </c>
      <c r="AO896" t="s">
        <v>98</v>
      </c>
      <c r="AP896" t="s">
        <v>99</v>
      </c>
      <c r="AQ896" t="s">
        <v>102</v>
      </c>
      <c r="AV896" t="s">
        <v>98</v>
      </c>
      <c r="AX896" t="s">
        <v>136</v>
      </c>
      <c r="AZ896" t="s">
        <v>2235</v>
      </c>
      <c r="BC896" t="s">
        <v>485</v>
      </c>
      <c r="BF896" t="s">
        <v>2919</v>
      </c>
      <c r="BG896" t="s">
        <v>98</v>
      </c>
      <c r="BH896" t="s">
        <v>98</v>
      </c>
      <c r="BI896" t="s">
        <v>98</v>
      </c>
      <c r="BK896" t="s">
        <v>138</v>
      </c>
      <c r="BU896">
        <v>6</v>
      </c>
      <c r="BW896">
        <v>0.75</v>
      </c>
      <c r="BX896" t="s">
        <v>2218</v>
      </c>
      <c r="BY896" t="s">
        <v>98</v>
      </c>
      <c r="BZ896" t="s">
        <v>2254</v>
      </c>
      <c r="CA896" t="s">
        <v>2920</v>
      </c>
      <c r="CB896" t="s">
        <v>136</v>
      </c>
      <c r="CC896">
        <v>188</v>
      </c>
      <c r="CD896">
        <v>0.6</v>
      </c>
      <c r="CE896">
        <v>71.599999999999994</v>
      </c>
      <c r="CF896">
        <v>6313</v>
      </c>
      <c r="CL896" t="s">
        <v>98</v>
      </c>
      <c r="CM896" t="s">
        <v>291</v>
      </c>
      <c r="CN896" t="s">
        <v>2578</v>
      </c>
      <c r="CO896" s="1">
        <v>40486</v>
      </c>
      <c r="CP896" s="1">
        <v>43595</v>
      </c>
    </row>
    <row r="897" spans="1:94" x14ac:dyDescent="0.25">
      <c r="A897" s="4" t="s">
        <v>2921</v>
      </c>
      <c r="B897" t="str">
        <f xml:space="preserve"> "" &amp; 706411050077</f>
        <v>706411050077</v>
      </c>
      <c r="C897" t="s">
        <v>2178</v>
      </c>
      <c r="D897" t="s">
        <v>2917</v>
      </c>
      <c r="E897" t="s">
        <v>2918</v>
      </c>
      <c r="F897" t="s">
        <v>2113</v>
      </c>
      <c r="G897">
        <v>1</v>
      </c>
      <c r="H897">
        <v>1</v>
      </c>
      <c r="I897" t="s">
        <v>97</v>
      </c>
      <c r="J897" s="32">
        <v>119.95</v>
      </c>
      <c r="K897" s="32">
        <v>359.85</v>
      </c>
      <c r="L897">
        <v>0</v>
      </c>
      <c r="N897">
        <v>0</v>
      </c>
      <c r="Q897" t="s">
        <v>291</v>
      </c>
      <c r="R897" s="32">
        <v>209.95</v>
      </c>
      <c r="S897">
        <v>14</v>
      </c>
      <c r="T897">
        <v>54</v>
      </c>
      <c r="U897">
        <v>54</v>
      </c>
      <c r="W897">
        <v>23.15</v>
      </c>
      <c r="X897">
        <v>1</v>
      </c>
      <c r="Y897">
        <v>10.63</v>
      </c>
      <c r="Z897">
        <v>20.75</v>
      </c>
      <c r="AA897">
        <v>15</v>
      </c>
      <c r="AB897">
        <v>1.915</v>
      </c>
      <c r="AC897">
        <v>26.46</v>
      </c>
      <c r="AK897" t="s">
        <v>98</v>
      </c>
      <c r="AM897" t="s">
        <v>98</v>
      </c>
      <c r="AN897" t="s">
        <v>291</v>
      </c>
      <c r="AO897" t="s">
        <v>98</v>
      </c>
      <c r="AP897" t="s">
        <v>99</v>
      </c>
      <c r="AQ897" t="s">
        <v>102</v>
      </c>
      <c r="AV897" t="s">
        <v>98</v>
      </c>
      <c r="AX897" t="s">
        <v>197</v>
      </c>
      <c r="AZ897" t="s">
        <v>2235</v>
      </c>
      <c r="BF897" t="s">
        <v>2922</v>
      </c>
      <c r="BG897" t="s">
        <v>98</v>
      </c>
      <c r="BH897" t="s">
        <v>98</v>
      </c>
      <c r="BI897" t="s">
        <v>98</v>
      </c>
      <c r="BK897" t="s">
        <v>138</v>
      </c>
      <c r="BU897">
        <v>6</v>
      </c>
      <c r="BW897">
        <v>0.75</v>
      </c>
      <c r="BX897" t="s">
        <v>2923</v>
      </c>
      <c r="BZ897" t="s">
        <v>2413</v>
      </c>
      <c r="CA897" t="s">
        <v>2920</v>
      </c>
      <c r="CB897" t="s">
        <v>197</v>
      </c>
      <c r="CC897">
        <v>188</v>
      </c>
      <c r="CD897">
        <v>0.6</v>
      </c>
      <c r="CE897">
        <v>71.599999999999994</v>
      </c>
      <c r="CF897">
        <v>6313</v>
      </c>
      <c r="CL897" t="s">
        <v>98</v>
      </c>
      <c r="CM897" t="s">
        <v>291</v>
      </c>
      <c r="CN897" t="s">
        <v>2578</v>
      </c>
      <c r="CO897" s="1">
        <v>41716</v>
      </c>
      <c r="CP897" s="1">
        <v>43595</v>
      </c>
    </row>
    <row r="898" spans="1:94" x14ac:dyDescent="0.25">
      <c r="A898" s="4" t="s">
        <v>2924</v>
      </c>
      <c r="B898" t="str">
        <f xml:space="preserve"> "" &amp; 706411038631</f>
        <v>706411038631</v>
      </c>
      <c r="C898" t="s">
        <v>2178</v>
      </c>
      <c r="D898" t="s">
        <v>2917</v>
      </c>
      <c r="E898" t="s">
        <v>2918</v>
      </c>
      <c r="F898" t="s">
        <v>2113</v>
      </c>
      <c r="G898">
        <v>1</v>
      </c>
      <c r="H898">
        <v>1</v>
      </c>
      <c r="I898" t="s">
        <v>97</v>
      </c>
      <c r="J898" s="32">
        <v>119.95</v>
      </c>
      <c r="K898" s="32">
        <v>359.85</v>
      </c>
      <c r="L898">
        <v>0</v>
      </c>
      <c r="N898">
        <v>0</v>
      </c>
      <c r="Q898" t="s">
        <v>291</v>
      </c>
      <c r="R898" s="32">
        <v>209.95</v>
      </c>
      <c r="S898">
        <v>14</v>
      </c>
      <c r="T898">
        <v>54</v>
      </c>
      <c r="U898">
        <v>54</v>
      </c>
      <c r="W898">
        <v>23.15</v>
      </c>
      <c r="X898">
        <v>1</v>
      </c>
      <c r="Y898">
        <v>10.63</v>
      </c>
      <c r="Z898">
        <v>20.75</v>
      </c>
      <c r="AA898">
        <v>15</v>
      </c>
      <c r="AB898">
        <v>1.915</v>
      </c>
      <c r="AC898">
        <v>26.46</v>
      </c>
      <c r="AK898" t="s">
        <v>98</v>
      </c>
      <c r="AM898" t="s">
        <v>98</v>
      </c>
      <c r="AN898" t="s">
        <v>291</v>
      </c>
      <c r="AO898" t="s">
        <v>98</v>
      </c>
      <c r="AP898" t="s">
        <v>99</v>
      </c>
      <c r="AQ898" t="s">
        <v>102</v>
      </c>
      <c r="AV898" t="s">
        <v>98</v>
      </c>
      <c r="AX898" t="s">
        <v>201</v>
      </c>
      <c r="AZ898" t="s">
        <v>2235</v>
      </c>
      <c r="BF898" t="s">
        <v>2925</v>
      </c>
      <c r="BG898" t="s">
        <v>98</v>
      </c>
      <c r="BH898" t="s">
        <v>98</v>
      </c>
      <c r="BI898" t="s">
        <v>98</v>
      </c>
      <c r="BK898" t="s">
        <v>138</v>
      </c>
      <c r="BU898">
        <v>6</v>
      </c>
      <c r="BW898">
        <v>0.75</v>
      </c>
      <c r="BX898" t="s">
        <v>2218</v>
      </c>
      <c r="BY898" t="s">
        <v>98</v>
      </c>
      <c r="BZ898" t="s">
        <v>2159</v>
      </c>
      <c r="CA898" t="s">
        <v>2920</v>
      </c>
      <c r="CB898" t="s">
        <v>201</v>
      </c>
      <c r="CC898">
        <v>188</v>
      </c>
      <c r="CD898">
        <v>0.6</v>
      </c>
      <c r="CE898">
        <v>71.599999999999994</v>
      </c>
      <c r="CF898">
        <v>6313</v>
      </c>
      <c r="CL898" t="s">
        <v>98</v>
      </c>
      <c r="CM898" t="s">
        <v>291</v>
      </c>
      <c r="CN898" t="s">
        <v>2578</v>
      </c>
      <c r="CO898" s="1">
        <v>40245</v>
      </c>
      <c r="CP898" s="1">
        <v>43595</v>
      </c>
    </row>
    <row r="899" spans="1:94" x14ac:dyDescent="0.25">
      <c r="A899" s="4" t="s">
        <v>2926</v>
      </c>
      <c r="B899" t="str">
        <f xml:space="preserve"> "" &amp; 706411038648</f>
        <v>706411038648</v>
      </c>
      <c r="C899" t="s">
        <v>2178</v>
      </c>
      <c r="D899" t="s">
        <v>2917</v>
      </c>
      <c r="E899" t="s">
        <v>2918</v>
      </c>
      <c r="F899" t="s">
        <v>2113</v>
      </c>
      <c r="G899">
        <v>1</v>
      </c>
      <c r="H899">
        <v>1</v>
      </c>
      <c r="I899" t="s">
        <v>97</v>
      </c>
      <c r="J899" s="32">
        <v>119.95</v>
      </c>
      <c r="K899" s="32">
        <v>359.85</v>
      </c>
      <c r="L899">
        <v>0</v>
      </c>
      <c r="N899">
        <v>0</v>
      </c>
      <c r="Q899" t="s">
        <v>291</v>
      </c>
      <c r="R899" s="32">
        <v>209.95</v>
      </c>
      <c r="S899">
        <v>14</v>
      </c>
      <c r="T899">
        <v>54</v>
      </c>
      <c r="U899">
        <v>54</v>
      </c>
      <c r="W899">
        <v>23.15</v>
      </c>
      <c r="X899">
        <v>1</v>
      </c>
      <c r="Y899">
        <v>10.63</v>
      </c>
      <c r="Z899">
        <v>20.75</v>
      </c>
      <c r="AA899">
        <v>15</v>
      </c>
      <c r="AB899">
        <v>1.915</v>
      </c>
      <c r="AC899">
        <v>26.46</v>
      </c>
      <c r="AK899" t="s">
        <v>98</v>
      </c>
      <c r="AM899" t="s">
        <v>98</v>
      </c>
      <c r="AN899" t="s">
        <v>291</v>
      </c>
      <c r="AO899" t="s">
        <v>98</v>
      </c>
      <c r="AP899" t="s">
        <v>99</v>
      </c>
      <c r="AQ899" t="s">
        <v>102</v>
      </c>
      <c r="AV899" t="s">
        <v>98</v>
      </c>
      <c r="AX899" t="s">
        <v>249</v>
      </c>
      <c r="AZ899" t="s">
        <v>2235</v>
      </c>
      <c r="BC899" t="s">
        <v>485</v>
      </c>
      <c r="BF899" t="s">
        <v>2927</v>
      </c>
      <c r="BG899" t="s">
        <v>98</v>
      </c>
      <c r="BH899" t="s">
        <v>98</v>
      </c>
      <c r="BI899" t="s">
        <v>98</v>
      </c>
      <c r="BK899" t="s">
        <v>138</v>
      </c>
      <c r="BU899">
        <v>6</v>
      </c>
      <c r="BW899">
        <v>0.75</v>
      </c>
      <c r="BX899" t="s">
        <v>2218</v>
      </c>
      <c r="BY899" t="s">
        <v>98</v>
      </c>
      <c r="BZ899" t="s">
        <v>249</v>
      </c>
      <c r="CA899" t="s">
        <v>2920</v>
      </c>
      <c r="CB899" t="s">
        <v>249</v>
      </c>
      <c r="CC899">
        <v>188</v>
      </c>
      <c r="CD899">
        <v>0.6</v>
      </c>
      <c r="CE899">
        <v>71.599999999999994</v>
      </c>
      <c r="CF899">
        <v>6313</v>
      </c>
      <c r="CL899" t="s">
        <v>98</v>
      </c>
      <c r="CM899" t="s">
        <v>291</v>
      </c>
      <c r="CN899" t="s">
        <v>2578</v>
      </c>
      <c r="CO899" s="1">
        <v>40245</v>
      </c>
      <c r="CP899" s="1">
        <v>43595</v>
      </c>
    </row>
    <row r="900" spans="1:94" x14ac:dyDescent="0.25">
      <c r="A900" s="4" t="s">
        <v>2928</v>
      </c>
      <c r="B900" t="str">
        <f xml:space="preserve"> "" &amp; 706411038624</f>
        <v>706411038624</v>
      </c>
      <c r="C900" t="s">
        <v>2178</v>
      </c>
      <c r="D900" t="s">
        <v>2917</v>
      </c>
      <c r="E900" t="s">
        <v>2918</v>
      </c>
      <c r="F900" t="s">
        <v>2113</v>
      </c>
      <c r="G900">
        <v>1</v>
      </c>
      <c r="H900">
        <v>1</v>
      </c>
      <c r="I900" t="s">
        <v>97</v>
      </c>
      <c r="J900" s="32">
        <v>119.95</v>
      </c>
      <c r="K900" s="32">
        <v>359.85</v>
      </c>
      <c r="L900">
        <v>0</v>
      </c>
      <c r="N900">
        <v>0</v>
      </c>
      <c r="Q900" t="s">
        <v>291</v>
      </c>
      <c r="R900" s="32">
        <v>209.95</v>
      </c>
      <c r="S900">
        <v>14</v>
      </c>
      <c r="T900">
        <v>54</v>
      </c>
      <c r="U900">
        <v>54</v>
      </c>
      <c r="W900">
        <v>23.15</v>
      </c>
      <c r="X900">
        <v>1</v>
      </c>
      <c r="Y900">
        <v>10.63</v>
      </c>
      <c r="Z900">
        <v>20.75</v>
      </c>
      <c r="AA900">
        <v>15</v>
      </c>
      <c r="AB900">
        <v>1.915</v>
      </c>
      <c r="AC900">
        <v>26.46</v>
      </c>
      <c r="AK900" t="s">
        <v>98</v>
      </c>
      <c r="AM900" t="s">
        <v>98</v>
      </c>
      <c r="AN900" t="s">
        <v>291</v>
      </c>
      <c r="AO900" t="s">
        <v>98</v>
      </c>
      <c r="AP900" t="s">
        <v>99</v>
      </c>
      <c r="AQ900" t="s">
        <v>102</v>
      </c>
      <c r="AV900" t="s">
        <v>98</v>
      </c>
      <c r="AX900" t="s">
        <v>253</v>
      </c>
      <c r="AZ900" t="s">
        <v>2235</v>
      </c>
      <c r="BC900" t="s">
        <v>485</v>
      </c>
      <c r="BF900" t="s">
        <v>2929</v>
      </c>
      <c r="BG900" t="s">
        <v>98</v>
      </c>
      <c r="BH900" t="s">
        <v>98</v>
      </c>
      <c r="BI900" t="s">
        <v>98</v>
      </c>
      <c r="BK900" t="s">
        <v>138</v>
      </c>
      <c r="BU900">
        <v>6</v>
      </c>
      <c r="BW900">
        <v>0.75</v>
      </c>
      <c r="BX900" t="s">
        <v>2218</v>
      </c>
      <c r="BY900" t="s">
        <v>98</v>
      </c>
      <c r="BZ900" t="s">
        <v>2254</v>
      </c>
      <c r="CA900" t="s">
        <v>2920</v>
      </c>
      <c r="CB900" t="s">
        <v>253</v>
      </c>
      <c r="CC900">
        <v>188</v>
      </c>
      <c r="CD900">
        <v>0.6</v>
      </c>
      <c r="CE900">
        <v>71.599999999999994</v>
      </c>
      <c r="CF900">
        <v>6313</v>
      </c>
      <c r="CL900" t="s">
        <v>98</v>
      </c>
      <c r="CM900" t="s">
        <v>291</v>
      </c>
      <c r="CN900" t="s">
        <v>2578</v>
      </c>
      <c r="CO900" s="1">
        <v>40246</v>
      </c>
      <c r="CP900" s="1">
        <v>43595</v>
      </c>
    </row>
    <row r="901" spans="1:94" x14ac:dyDescent="0.25">
      <c r="A901" s="4" t="s">
        <v>2930</v>
      </c>
      <c r="B901" t="str">
        <f xml:space="preserve"> "" &amp; 706411054808</f>
        <v>706411054808</v>
      </c>
      <c r="C901" t="s">
        <v>2931</v>
      </c>
      <c r="D901" t="s">
        <v>2932</v>
      </c>
      <c r="E901" t="s">
        <v>2933</v>
      </c>
      <c r="F901" t="s">
        <v>2113</v>
      </c>
      <c r="G901">
        <v>1</v>
      </c>
      <c r="H901">
        <v>1</v>
      </c>
      <c r="I901" t="s">
        <v>97</v>
      </c>
      <c r="J901" s="32">
        <v>229.95</v>
      </c>
      <c r="K901" s="32">
        <v>689.85</v>
      </c>
      <c r="L901">
        <v>0</v>
      </c>
      <c r="N901">
        <v>0</v>
      </c>
      <c r="Q901" t="s">
        <v>291</v>
      </c>
      <c r="R901" s="32">
        <v>459.95</v>
      </c>
      <c r="S901">
        <v>20</v>
      </c>
      <c r="T901">
        <v>56</v>
      </c>
      <c r="U901">
        <v>56</v>
      </c>
      <c r="W901">
        <v>31.97</v>
      </c>
      <c r="X901">
        <v>1</v>
      </c>
      <c r="Y901">
        <v>11.13</v>
      </c>
      <c r="Z901">
        <v>28.13</v>
      </c>
      <c r="AA901">
        <v>16.38</v>
      </c>
      <c r="AB901">
        <v>2.968</v>
      </c>
      <c r="AC901">
        <v>35.85</v>
      </c>
      <c r="AE901">
        <v>2</v>
      </c>
      <c r="AF901" t="s">
        <v>2942</v>
      </c>
      <c r="AG901">
        <v>50</v>
      </c>
      <c r="AK901" t="s">
        <v>291</v>
      </c>
      <c r="AM901" t="s">
        <v>98</v>
      </c>
      <c r="AN901" t="s">
        <v>98</v>
      </c>
      <c r="AO901" t="s">
        <v>291</v>
      </c>
      <c r="AP901" t="s">
        <v>99</v>
      </c>
      <c r="AQ901" t="s">
        <v>102</v>
      </c>
      <c r="AV901" t="s">
        <v>98</v>
      </c>
      <c r="AX901" t="s">
        <v>159</v>
      </c>
      <c r="AZ901" t="s">
        <v>535</v>
      </c>
      <c r="BB901" t="s">
        <v>106</v>
      </c>
      <c r="BC901" t="s">
        <v>2934</v>
      </c>
      <c r="BF901" t="s">
        <v>2935</v>
      </c>
      <c r="BG901" t="s">
        <v>98</v>
      </c>
      <c r="BH901" t="s">
        <v>98</v>
      </c>
      <c r="BI901" t="s">
        <v>98</v>
      </c>
      <c r="BJ901" t="s">
        <v>291</v>
      </c>
      <c r="BK901" t="s">
        <v>292</v>
      </c>
      <c r="BU901">
        <v>10</v>
      </c>
      <c r="BW901">
        <v>0.75</v>
      </c>
      <c r="BX901" t="s">
        <v>2121</v>
      </c>
      <c r="BY901" t="s">
        <v>291</v>
      </c>
      <c r="BZ901" t="s">
        <v>441</v>
      </c>
      <c r="CA901" t="s">
        <v>2936</v>
      </c>
      <c r="CB901" t="s">
        <v>159</v>
      </c>
      <c r="CC901">
        <v>171</v>
      </c>
      <c r="CD901">
        <v>0.54</v>
      </c>
      <c r="CE901">
        <v>64.8</v>
      </c>
      <c r="CF901">
        <v>6392</v>
      </c>
      <c r="CL901" t="s">
        <v>291</v>
      </c>
      <c r="CM901" t="s">
        <v>291</v>
      </c>
      <c r="CN901" t="s">
        <v>2937</v>
      </c>
      <c r="CO901" s="1">
        <v>42553</v>
      </c>
      <c r="CP901" s="1">
        <v>43595</v>
      </c>
    </row>
    <row r="902" spans="1:94" x14ac:dyDescent="0.25">
      <c r="A902" s="4" t="s">
        <v>2938</v>
      </c>
      <c r="B902" t="str">
        <f xml:space="preserve"> "" &amp; 706411054587</f>
        <v>706411054587</v>
      </c>
      <c r="C902" t="s">
        <v>2931</v>
      </c>
      <c r="D902" t="s">
        <v>2932</v>
      </c>
      <c r="E902" t="s">
        <v>2933</v>
      </c>
      <c r="F902" t="s">
        <v>2113</v>
      </c>
      <c r="G902">
        <v>1</v>
      </c>
      <c r="H902">
        <v>1</v>
      </c>
      <c r="I902" t="s">
        <v>97</v>
      </c>
      <c r="J902" s="32">
        <v>229.95</v>
      </c>
      <c r="K902" s="32">
        <v>689.85</v>
      </c>
      <c r="L902">
        <v>0</v>
      </c>
      <c r="N902">
        <v>0</v>
      </c>
      <c r="Q902" t="s">
        <v>291</v>
      </c>
      <c r="R902" s="32">
        <v>459.95</v>
      </c>
      <c r="S902">
        <v>20</v>
      </c>
      <c r="T902">
        <v>56</v>
      </c>
      <c r="U902">
        <v>56</v>
      </c>
      <c r="W902">
        <v>31.97</v>
      </c>
      <c r="X902">
        <v>1</v>
      </c>
      <c r="Y902">
        <v>11.13</v>
      </c>
      <c r="Z902">
        <v>28.13</v>
      </c>
      <c r="AA902">
        <v>16.38</v>
      </c>
      <c r="AB902">
        <v>2.968</v>
      </c>
      <c r="AC902">
        <v>35.85</v>
      </c>
      <c r="AE902">
        <v>2</v>
      </c>
      <c r="AF902" t="s">
        <v>2602</v>
      </c>
      <c r="AG902">
        <v>50</v>
      </c>
      <c r="AK902" t="s">
        <v>291</v>
      </c>
      <c r="AM902" t="s">
        <v>98</v>
      </c>
      <c r="AN902" t="s">
        <v>98</v>
      </c>
      <c r="AO902" t="s">
        <v>291</v>
      </c>
      <c r="AP902" t="s">
        <v>99</v>
      </c>
      <c r="AQ902" t="s">
        <v>102</v>
      </c>
      <c r="AV902" t="s">
        <v>98</v>
      </c>
      <c r="AX902" t="s">
        <v>245</v>
      </c>
      <c r="AZ902" t="s">
        <v>535</v>
      </c>
      <c r="BB902" t="s">
        <v>106</v>
      </c>
      <c r="BC902" t="s">
        <v>2939</v>
      </c>
      <c r="BF902" t="s">
        <v>2940</v>
      </c>
      <c r="BG902" t="s">
        <v>98</v>
      </c>
      <c r="BH902" t="s">
        <v>98</v>
      </c>
      <c r="BI902" t="s">
        <v>98</v>
      </c>
      <c r="BJ902" t="s">
        <v>291</v>
      </c>
      <c r="BK902" t="s">
        <v>292</v>
      </c>
      <c r="BU902">
        <v>10</v>
      </c>
      <c r="BW902">
        <v>0.75</v>
      </c>
      <c r="BX902" t="s">
        <v>2121</v>
      </c>
      <c r="BY902" t="s">
        <v>291</v>
      </c>
      <c r="BZ902" t="s">
        <v>2448</v>
      </c>
      <c r="CA902" t="s">
        <v>2936</v>
      </c>
      <c r="CB902" t="s">
        <v>245</v>
      </c>
      <c r="CC902">
        <v>171</v>
      </c>
      <c r="CD902">
        <v>0.54</v>
      </c>
      <c r="CE902">
        <v>64.8</v>
      </c>
      <c r="CF902">
        <v>6392</v>
      </c>
      <c r="CL902" t="s">
        <v>291</v>
      </c>
      <c r="CM902" t="s">
        <v>291</v>
      </c>
      <c r="CN902" t="s">
        <v>2937</v>
      </c>
      <c r="CO902" s="1">
        <v>42553</v>
      </c>
      <c r="CP902" s="1">
        <v>43595</v>
      </c>
    </row>
    <row r="903" spans="1:94" x14ac:dyDescent="0.25">
      <c r="A903" s="4" t="s">
        <v>2941</v>
      </c>
      <c r="B903" t="str">
        <f xml:space="preserve"> "" &amp; 706411054570</f>
        <v>706411054570</v>
      </c>
      <c r="C903" t="s">
        <v>2931</v>
      </c>
      <c r="D903" t="s">
        <v>2932</v>
      </c>
      <c r="E903" t="s">
        <v>2933</v>
      </c>
      <c r="F903" t="s">
        <v>2113</v>
      </c>
      <c r="G903">
        <v>1</v>
      </c>
      <c r="H903">
        <v>1</v>
      </c>
      <c r="I903" t="s">
        <v>97</v>
      </c>
      <c r="J903" s="32">
        <v>229.95</v>
      </c>
      <c r="K903" s="32">
        <v>689.85</v>
      </c>
      <c r="L903">
        <v>0</v>
      </c>
      <c r="N903">
        <v>0</v>
      </c>
      <c r="Q903" t="s">
        <v>291</v>
      </c>
      <c r="R903" s="32">
        <v>459.95</v>
      </c>
      <c r="S903">
        <v>20</v>
      </c>
      <c r="T903">
        <v>56</v>
      </c>
      <c r="U903">
        <v>56</v>
      </c>
      <c r="W903">
        <v>31.97</v>
      </c>
      <c r="X903">
        <v>1</v>
      </c>
      <c r="Y903">
        <v>11.13</v>
      </c>
      <c r="Z903">
        <v>28.13</v>
      </c>
      <c r="AA903">
        <v>16.38</v>
      </c>
      <c r="AB903">
        <v>2.968</v>
      </c>
      <c r="AC903">
        <v>35.85</v>
      </c>
      <c r="AE903">
        <v>2</v>
      </c>
      <c r="AF903" t="s">
        <v>2942</v>
      </c>
      <c r="AG903">
        <v>50</v>
      </c>
      <c r="AK903" t="s">
        <v>291</v>
      </c>
      <c r="AM903" t="s">
        <v>98</v>
      </c>
      <c r="AN903" t="s">
        <v>98</v>
      </c>
      <c r="AO903" t="s">
        <v>291</v>
      </c>
      <c r="AP903" t="s">
        <v>99</v>
      </c>
      <c r="AQ903" t="s">
        <v>102</v>
      </c>
      <c r="AV903" t="s">
        <v>98</v>
      </c>
      <c r="AX903" t="s">
        <v>257</v>
      </c>
      <c r="AZ903" t="s">
        <v>535</v>
      </c>
      <c r="BB903" t="s">
        <v>106</v>
      </c>
      <c r="BC903" t="s">
        <v>2939</v>
      </c>
      <c r="BF903" t="s">
        <v>2943</v>
      </c>
      <c r="BG903" t="s">
        <v>98</v>
      </c>
      <c r="BH903" t="s">
        <v>98</v>
      </c>
      <c r="BI903" t="s">
        <v>98</v>
      </c>
      <c r="BJ903" t="s">
        <v>291</v>
      </c>
      <c r="BK903" t="s">
        <v>292</v>
      </c>
      <c r="BU903">
        <v>10</v>
      </c>
      <c r="BW903">
        <v>0.75</v>
      </c>
      <c r="BX903" t="s">
        <v>2121</v>
      </c>
      <c r="BY903" t="s">
        <v>291</v>
      </c>
      <c r="BZ903" t="s">
        <v>441</v>
      </c>
      <c r="CA903" t="s">
        <v>2936</v>
      </c>
      <c r="CB903" t="s">
        <v>257</v>
      </c>
      <c r="CC903">
        <v>171</v>
      </c>
      <c r="CD903">
        <v>0.54</v>
      </c>
      <c r="CE903">
        <v>64.8</v>
      </c>
      <c r="CF903">
        <v>6392</v>
      </c>
      <c r="CL903" t="s">
        <v>291</v>
      </c>
      <c r="CM903" t="s">
        <v>291</v>
      </c>
      <c r="CN903" t="s">
        <v>2937</v>
      </c>
      <c r="CO903" s="1">
        <v>42553</v>
      </c>
      <c r="CP903" s="1">
        <v>43595</v>
      </c>
    </row>
    <row r="904" spans="1:94" x14ac:dyDescent="0.25">
      <c r="A904" s="4" t="s">
        <v>2944</v>
      </c>
      <c r="B904" t="str">
        <f xml:space="preserve"> "" &amp; 706411055089</f>
        <v>706411055089</v>
      </c>
      <c r="C904" t="s">
        <v>2931</v>
      </c>
      <c r="D904" t="s">
        <v>2932</v>
      </c>
      <c r="E904" t="s">
        <v>2933</v>
      </c>
      <c r="F904" t="s">
        <v>2113</v>
      </c>
      <c r="G904">
        <v>1</v>
      </c>
      <c r="H904">
        <v>1</v>
      </c>
      <c r="I904" t="s">
        <v>97</v>
      </c>
      <c r="J904" s="32">
        <v>229.95</v>
      </c>
      <c r="K904" s="32">
        <v>689.85</v>
      </c>
      <c r="L904">
        <v>0</v>
      </c>
      <c r="N904">
        <v>0</v>
      </c>
      <c r="Q904" t="s">
        <v>291</v>
      </c>
      <c r="R904" s="32">
        <v>459.95</v>
      </c>
      <c r="S904">
        <v>20</v>
      </c>
      <c r="T904">
        <v>56</v>
      </c>
      <c r="U904">
        <v>56</v>
      </c>
      <c r="W904">
        <v>31.97</v>
      </c>
      <c r="X904">
        <v>1</v>
      </c>
      <c r="Y904">
        <v>11.13</v>
      </c>
      <c r="Z904">
        <v>28.13</v>
      </c>
      <c r="AA904">
        <v>16.38</v>
      </c>
      <c r="AB904">
        <v>2.968</v>
      </c>
      <c r="AC904">
        <v>35.85</v>
      </c>
      <c r="AE904">
        <v>2</v>
      </c>
      <c r="AF904" t="s">
        <v>2942</v>
      </c>
      <c r="AG904">
        <v>50</v>
      </c>
      <c r="AK904" t="s">
        <v>291</v>
      </c>
      <c r="AM904" t="s">
        <v>98</v>
      </c>
      <c r="AN904" t="s">
        <v>98</v>
      </c>
      <c r="AO904" t="s">
        <v>291</v>
      </c>
      <c r="AP904" t="s">
        <v>99</v>
      </c>
      <c r="AQ904" t="s">
        <v>102</v>
      </c>
      <c r="AV904" t="s">
        <v>98</v>
      </c>
      <c r="AX904" t="s">
        <v>434</v>
      </c>
      <c r="AZ904" t="s">
        <v>535</v>
      </c>
      <c r="BF904" t="s">
        <v>2945</v>
      </c>
      <c r="BG904" t="s">
        <v>98</v>
      </c>
      <c r="BH904" t="s">
        <v>98</v>
      </c>
      <c r="BI904" t="s">
        <v>98</v>
      </c>
      <c r="BJ904" t="s">
        <v>291</v>
      </c>
      <c r="BK904" t="s">
        <v>292</v>
      </c>
      <c r="BU904">
        <v>10</v>
      </c>
      <c r="BW904">
        <v>0.75</v>
      </c>
      <c r="BX904" t="s">
        <v>2121</v>
      </c>
      <c r="BY904" t="s">
        <v>291</v>
      </c>
      <c r="BZ904" t="s">
        <v>2946</v>
      </c>
      <c r="CA904" t="s">
        <v>2936</v>
      </c>
      <c r="CB904" t="s">
        <v>434</v>
      </c>
      <c r="CC904">
        <v>171</v>
      </c>
      <c r="CD904">
        <v>0.54</v>
      </c>
      <c r="CE904">
        <v>64.8</v>
      </c>
      <c r="CF904">
        <v>6392</v>
      </c>
      <c r="CL904" t="s">
        <v>291</v>
      </c>
      <c r="CM904" t="s">
        <v>291</v>
      </c>
      <c r="CN904" t="s">
        <v>2937</v>
      </c>
      <c r="CO904" s="1">
        <v>42553</v>
      </c>
      <c r="CP904" s="1">
        <v>43595</v>
      </c>
    </row>
    <row r="905" spans="1:94" x14ac:dyDescent="0.25">
      <c r="A905" s="4" t="s">
        <v>2947</v>
      </c>
      <c r="B905" t="str">
        <f xml:space="preserve"> "" &amp; 706411055102</f>
        <v>706411055102</v>
      </c>
      <c r="C905" t="s">
        <v>2931</v>
      </c>
      <c r="D905" t="s">
        <v>2932</v>
      </c>
      <c r="E905" t="s">
        <v>2933</v>
      </c>
      <c r="F905" t="s">
        <v>2113</v>
      </c>
      <c r="G905">
        <v>1</v>
      </c>
      <c r="H905">
        <v>1</v>
      </c>
      <c r="I905" t="s">
        <v>97</v>
      </c>
      <c r="J905" s="32">
        <v>229.95</v>
      </c>
      <c r="K905" s="32">
        <v>689.85</v>
      </c>
      <c r="L905">
        <v>0</v>
      </c>
      <c r="N905">
        <v>0</v>
      </c>
      <c r="Q905" t="s">
        <v>291</v>
      </c>
      <c r="R905" s="32">
        <v>459.95</v>
      </c>
      <c r="S905">
        <v>20</v>
      </c>
      <c r="T905">
        <v>56</v>
      </c>
      <c r="U905">
        <v>56</v>
      </c>
      <c r="W905">
        <v>31.97</v>
      </c>
      <c r="X905">
        <v>1</v>
      </c>
      <c r="Y905">
        <v>11.13</v>
      </c>
      <c r="Z905">
        <v>28.13</v>
      </c>
      <c r="AA905">
        <v>16.38</v>
      </c>
      <c r="AB905">
        <v>2.968</v>
      </c>
      <c r="AC905">
        <v>35.85</v>
      </c>
      <c r="AE905">
        <v>2</v>
      </c>
      <c r="AF905" t="s">
        <v>2948</v>
      </c>
      <c r="AG905">
        <v>50</v>
      </c>
      <c r="AK905" t="s">
        <v>291</v>
      </c>
      <c r="AM905" t="s">
        <v>98</v>
      </c>
      <c r="AN905" t="s">
        <v>98</v>
      </c>
      <c r="AO905" t="s">
        <v>291</v>
      </c>
      <c r="AP905" t="s">
        <v>99</v>
      </c>
      <c r="AQ905" t="s">
        <v>102</v>
      </c>
      <c r="AV905" t="s">
        <v>98</v>
      </c>
      <c r="AX905" t="s">
        <v>956</v>
      </c>
      <c r="AZ905" t="s">
        <v>109</v>
      </c>
      <c r="BB905" t="s">
        <v>106</v>
      </c>
      <c r="BC905" t="s">
        <v>2949</v>
      </c>
      <c r="BF905" t="s">
        <v>2950</v>
      </c>
      <c r="BG905" t="s">
        <v>98</v>
      </c>
      <c r="BH905" t="s">
        <v>98</v>
      </c>
      <c r="BI905" t="s">
        <v>98</v>
      </c>
      <c r="BJ905" t="s">
        <v>291</v>
      </c>
      <c r="BK905" t="s">
        <v>292</v>
      </c>
      <c r="BU905">
        <v>10</v>
      </c>
      <c r="BW905">
        <v>0.75</v>
      </c>
      <c r="BX905" t="s">
        <v>2206</v>
      </c>
      <c r="BY905" t="s">
        <v>291</v>
      </c>
      <c r="BZ905" t="s">
        <v>2448</v>
      </c>
      <c r="CA905" t="s">
        <v>2936</v>
      </c>
      <c r="CB905" t="s">
        <v>956</v>
      </c>
      <c r="CC905">
        <v>171</v>
      </c>
      <c r="CD905">
        <v>0.54</v>
      </c>
      <c r="CE905">
        <v>64.8</v>
      </c>
      <c r="CF905">
        <v>6392</v>
      </c>
      <c r="CL905" t="s">
        <v>291</v>
      </c>
      <c r="CM905" t="s">
        <v>291</v>
      </c>
      <c r="CN905" t="s">
        <v>2951</v>
      </c>
      <c r="CO905" s="1">
        <v>42553</v>
      </c>
      <c r="CP905" s="1">
        <v>43595</v>
      </c>
    </row>
    <row r="906" spans="1:94" x14ac:dyDescent="0.25">
      <c r="A906" s="4" t="s">
        <v>2952</v>
      </c>
      <c r="B906" t="str">
        <f xml:space="preserve"> "" &amp; 706411056536</f>
        <v>706411056536</v>
      </c>
      <c r="C906" t="s">
        <v>2931</v>
      </c>
      <c r="D906" t="s">
        <v>2953</v>
      </c>
      <c r="E906" t="s">
        <v>2954</v>
      </c>
      <c r="F906" t="s">
        <v>2113</v>
      </c>
      <c r="G906">
        <v>1</v>
      </c>
      <c r="H906">
        <v>1</v>
      </c>
      <c r="I906" t="s">
        <v>97</v>
      </c>
      <c r="J906" s="32">
        <v>239.95</v>
      </c>
      <c r="K906" s="32">
        <v>719.85</v>
      </c>
      <c r="L906">
        <v>0</v>
      </c>
      <c r="N906">
        <v>0</v>
      </c>
      <c r="Q906" t="s">
        <v>291</v>
      </c>
      <c r="R906" s="32">
        <v>479.95</v>
      </c>
      <c r="S906">
        <v>17.5</v>
      </c>
      <c r="T906">
        <v>56</v>
      </c>
      <c r="U906">
        <v>56</v>
      </c>
      <c r="W906">
        <v>17.68</v>
      </c>
      <c r="X906">
        <v>1</v>
      </c>
      <c r="Y906">
        <v>9.5</v>
      </c>
      <c r="Z906">
        <v>33.75</v>
      </c>
      <c r="AA906">
        <v>16.13</v>
      </c>
      <c r="AB906">
        <v>2.9929999999999999</v>
      </c>
      <c r="AC906">
        <v>22.05</v>
      </c>
      <c r="AE906">
        <v>1</v>
      </c>
      <c r="AF906" t="s">
        <v>2141</v>
      </c>
      <c r="AG906">
        <v>20</v>
      </c>
      <c r="AK906" t="s">
        <v>291</v>
      </c>
      <c r="AM906" t="s">
        <v>98</v>
      </c>
      <c r="AN906" t="s">
        <v>291</v>
      </c>
      <c r="AO906" t="s">
        <v>98</v>
      </c>
      <c r="AP906" t="s">
        <v>99</v>
      </c>
      <c r="AQ906" t="s">
        <v>102</v>
      </c>
      <c r="AV906" t="s">
        <v>98</v>
      </c>
      <c r="AX906" t="s">
        <v>159</v>
      </c>
      <c r="AZ906" t="s">
        <v>535</v>
      </c>
      <c r="BB906" t="s">
        <v>106</v>
      </c>
      <c r="BC906" t="s">
        <v>2955</v>
      </c>
      <c r="BF906" t="s">
        <v>2956</v>
      </c>
      <c r="BG906" t="s">
        <v>98</v>
      </c>
      <c r="BH906" t="s">
        <v>98</v>
      </c>
      <c r="BI906" t="s">
        <v>98</v>
      </c>
      <c r="BJ906" t="s">
        <v>291</v>
      </c>
      <c r="BK906" t="s">
        <v>292</v>
      </c>
      <c r="BU906">
        <v>6</v>
      </c>
      <c r="BW906">
        <v>0.75</v>
      </c>
      <c r="BX906" t="s">
        <v>2218</v>
      </c>
      <c r="BY906" t="s">
        <v>291</v>
      </c>
      <c r="BZ906" t="s">
        <v>441</v>
      </c>
      <c r="CA906" t="s">
        <v>2957</v>
      </c>
      <c r="CB906" t="s">
        <v>159</v>
      </c>
      <c r="CC906">
        <v>179</v>
      </c>
      <c r="CD906">
        <v>0.49299999999999999</v>
      </c>
      <c r="CE906">
        <v>41.96</v>
      </c>
      <c r="CF906">
        <v>8181</v>
      </c>
      <c r="CG906">
        <v>3000</v>
      </c>
      <c r="CH906">
        <v>92</v>
      </c>
      <c r="CI906">
        <v>1614</v>
      </c>
      <c r="CJ906">
        <v>1286</v>
      </c>
      <c r="CK906">
        <v>30000</v>
      </c>
      <c r="CL906" t="s">
        <v>291</v>
      </c>
      <c r="CM906" t="s">
        <v>291</v>
      </c>
      <c r="CN906" t="s">
        <v>2958</v>
      </c>
      <c r="CO906" s="1">
        <v>42751</v>
      </c>
      <c r="CP906" s="1">
        <v>43595</v>
      </c>
    </row>
    <row r="907" spans="1:94" x14ac:dyDescent="0.25">
      <c r="A907" s="4" t="s">
        <v>2959</v>
      </c>
      <c r="B907" t="str">
        <f xml:space="preserve"> "" &amp; 706411056543</f>
        <v>706411056543</v>
      </c>
      <c r="C907" t="s">
        <v>2931</v>
      </c>
      <c r="D907" t="s">
        <v>2953</v>
      </c>
      <c r="E907" t="s">
        <v>2954</v>
      </c>
      <c r="F907" t="s">
        <v>2113</v>
      </c>
      <c r="G907">
        <v>1</v>
      </c>
      <c r="H907">
        <v>1</v>
      </c>
      <c r="I907" t="s">
        <v>97</v>
      </c>
      <c r="J907" s="32">
        <v>239.95</v>
      </c>
      <c r="K907" s="32">
        <v>719.85</v>
      </c>
      <c r="L907">
        <v>0</v>
      </c>
      <c r="N907">
        <v>0</v>
      </c>
      <c r="Q907" t="s">
        <v>291</v>
      </c>
      <c r="R907" s="32">
        <v>479.95</v>
      </c>
      <c r="S907">
        <v>17.5</v>
      </c>
      <c r="T907">
        <v>56</v>
      </c>
      <c r="U907">
        <v>56</v>
      </c>
      <c r="W907">
        <v>17.68</v>
      </c>
      <c r="X907">
        <v>1</v>
      </c>
      <c r="Y907">
        <v>9.5</v>
      </c>
      <c r="Z907">
        <v>33.75</v>
      </c>
      <c r="AA907">
        <v>16.13</v>
      </c>
      <c r="AB907">
        <v>2.9929999999999999</v>
      </c>
      <c r="AC907">
        <v>22.05</v>
      </c>
      <c r="AE907">
        <v>1</v>
      </c>
      <c r="AF907" t="s">
        <v>2141</v>
      </c>
      <c r="AG907">
        <v>20</v>
      </c>
      <c r="AK907" t="s">
        <v>291</v>
      </c>
      <c r="AM907" t="s">
        <v>98</v>
      </c>
      <c r="AN907" t="s">
        <v>291</v>
      </c>
      <c r="AO907" t="s">
        <v>98</v>
      </c>
      <c r="AP907" t="s">
        <v>99</v>
      </c>
      <c r="AQ907" t="s">
        <v>102</v>
      </c>
      <c r="AV907" t="s">
        <v>98</v>
      </c>
      <c r="AX907" t="s">
        <v>859</v>
      </c>
      <c r="AZ907" t="s">
        <v>535</v>
      </c>
      <c r="BB907" t="s">
        <v>106</v>
      </c>
      <c r="BC907" t="s">
        <v>2955</v>
      </c>
      <c r="BF907" t="s">
        <v>2960</v>
      </c>
      <c r="BG907" t="s">
        <v>98</v>
      </c>
      <c r="BH907" t="s">
        <v>98</v>
      </c>
      <c r="BI907" t="s">
        <v>98</v>
      </c>
      <c r="BJ907" t="s">
        <v>291</v>
      </c>
      <c r="BK907" t="s">
        <v>292</v>
      </c>
      <c r="BU907">
        <v>6</v>
      </c>
      <c r="BW907">
        <v>0.75</v>
      </c>
      <c r="BX907" t="s">
        <v>2218</v>
      </c>
      <c r="BY907" t="s">
        <v>291</v>
      </c>
      <c r="BZ907" t="s">
        <v>2168</v>
      </c>
      <c r="CA907" t="s">
        <v>2957</v>
      </c>
      <c r="CB907" t="s">
        <v>859</v>
      </c>
      <c r="CC907">
        <v>179</v>
      </c>
      <c r="CD907">
        <v>0.49299999999999999</v>
      </c>
      <c r="CE907">
        <v>41.96</v>
      </c>
      <c r="CF907">
        <v>8181</v>
      </c>
      <c r="CG907">
        <v>3000</v>
      </c>
      <c r="CH907">
        <v>92</v>
      </c>
      <c r="CI907">
        <v>1614</v>
      </c>
      <c r="CJ907">
        <v>1286</v>
      </c>
      <c r="CK907">
        <v>30000</v>
      </c>
      <c r="CL907" t="s">
        <v>291</v>
      </c>
      <c r="CM907" t="s">
        <v>291</v>
      </c>
      <c r="CN907" t="s">
        <v>2958</v>
      </c>
      <c r="CO907" s="1">
        <v>42751</v>
      </c>
      <c r="CP907" s="1">
        <v>43595</v>
      </c>
    </row>
    <row r="908" spans="1:94" x14ac:dyDescent="0.25">
      <c r="A908" s="4" t="s">
        <v>2961</v>
      </c>
      <c r="B908" t="str">
        <f xml:space="preserve"> "" &amp; 706411056550</f>
        <v>706411056550</v>
      </c>
      <c r="C908" t="s">
        <v>2931</v>
      </c>
      <c r="D908" t="s">
        <v>2953</v>
      </c>
      <c r="E908" t="s">
        <v>2954</v>
      </c>
      <c r="F908" t="s">
        <v>2113</v>
      </c>
      <c r="G908">
        <v>1</v>
      </c>
      <c r="H908">
        <v>1</v>
      </c>
      <c r="I908" t="s">
        <v>97</v>
      </c>
      <c r="J908" s="32">
        <v>239.95</v>
      </c>
      <c r="K908" s="32">
        <v>719.85</v>
      </c>
      <c r="L908">
        <v>0</v>
      </c>
      <c r="N908">
        <v>0</v>
      </c>
      <c r="Q908" t="s">
        <v>291</v>
      </c>
      <c r="R908" s="32">
        <v>479.95</v>
      </c>
      <c r="S908">
        <v>17.5</v>
      </c>
      <c r="T908">
        <v>56</v>
      </c>
      <c r="U908">
        <v>56</v>
      </c>
      <c r="W908">
        <v>17.68</v>
      </c>
      <c r="X908">
        <v>1</v>
      </c>
      <c r="Y908">
        <v>9.5</v>
      </c>
      <c r="Z908">
        <v>33.75</v>
      </c>
      <c r="AA908">
        <v>16.13</v>
      </c>
      <c r="AB908">
        <v>2.9929999999999999</v>
      </c>
      <c r="AC908">
        <v>22.05</v>
      </c>
      <c r="AE908">
        <v>1</v>
      </c>
      <c r="AF908" t="s">
        <v>2141</v>
      </c>
      <c r="AG908">
        <v>20</v>
      </c>
      <c r="AK908" t="s">
        <v>291</v>
      </c>
      <c r="AM908" t="s">
        <v>98</v>
      </c>
      <c r="AN908" t="s">
        <v>291</v>
      </c>
      <c r="AO908" t="s">
        <v>98</v>
      </c>
      <c r="AP908" t="s">
        <v>99</v>
      </c>
      <c r="AQ908" t="s">
        <v>102</v>
      </c>
      <c r="AV908" t="s">
        <v>98</v>
      </c>
      <c r="AX908" t="s">
        <v>209</v>
      </c>
      <c r="AZ908" t="s">
        <v>535</v>
      </c>
      <c r="BB908" t="s">
        <v>106</v>
      </c>
      <c r="BC908" t="s">
        <v>2955</v>
      </c>
      <c r="BF908" t="s">
        <v>2962</v>
      </c>
      <c r="BG908" t="s">
        <v>98</v>
      </c>
      <c r="BH908" t="s">
        <v>98</v>
      </c>
      <c r="BI908" t="s">
        <v>98</v>
      </c>
      <c r="BJ908" t="s">
        <v>291</v>
      </c>
      <c r="BK908" t="s">
        <v>292</v>
      </c>
      <c r="BU908">
        <v>6</v>
      </c>
      <c r="BW908">
        <v>0.75</v>
      </c>
      <c r="BX908" t="s">
        <v>2218</v>
      </c>
      <c r="BY908" t="s">
        <v>291</v>
      </c>
      <c r="BZ908" t="s">
        <v>2963</v>
      </c>
      <c r="CA908" t="s">
        <v>2957</v>
      </c>
      <c r="CB908" t="s">
        <v>209</v>
      </c>
      <c r="CC908">
        <v>179</v>
      </c>
      <c r="CD908">
        <v>0.49299999999999999</v>
      </c>
      <c r="CE908">
        <v>41.96</v>
      </c>
      <c r="CF908">
        <v>8181</v>
      </c>
      <c r="CG908">
        <v>3000</v>
      </c>
      <c r="CH908">
        <v>92</v>
      </c>
      <c r="CI908">
        <v>1614</v>
      </c>
      <c r="CJ908">
        <v>1286</v>
      </c>
      <c r="CK908">
        <v>30000</v>
      </c>
      <c r="CL908" t="s">
        <v>291</v>
      </c>
      <c r="CM908" t="s">
        <v>291</v>
      </c>
      <c r="CN908" t="s">
        <v>2958</v>
      </c>
      <c r="CO908" s="1">
        <v>42751</v>
      </c>
      <c r="CP908" s="1">
        <v>43595</v>
      </c>
    </row>
    <row r="909" spans="1:94" x14ac:dyDescent="0.25">
      <c r="A909" s="4" t="s">
        <v>2964</v>
      </c>
      <c r="B909" t="str">
        <f xml:space="preserve"> "" &amp; 706411059056</f>
        <v>706411059056</v>
      </c>
      <c r="C909" t="s">
        <v>2818</v>
      </c>
      <c r="D909" t="s">
        <v>2965</v>
      </c>
      <c r="E909" t="s">
        <v>2966</v>
      </c>
      <c r="F909" t="s">
        <v>2113</v>
      </c>
      <c r="G909">
        <v>1</v>
      </c>
      <c r="H909">
        <v>1</v>
      </c>
      <c r="I909" t="s">
        <v>97</v>
      </c>
      <c r="J909" s="32">
        <v>214.95</v>
      </c>
      <c r="K909" s="32">
        <v>644.85</v>
      </c>
      <c r="L909">
        <v>0</v>
      </c>
      <c r="N909">
        <v>0</v>
      </c>
      <c r="Q909" t="s">
        <v>291</v>
      </c>
      <c r="R909" s="32">
        <v>429.95</v>
      </c>
      <c r="S909">
        <v>16.5</v>
      </c>
      <c r="T909">
        <v>60</v>
      </c>
      <c r="U909">
        <v>60</v>
      </c>
      <c r="W909">
        <v>17.64</v>
      </c>
      <c r="X909">
        <v>1</v>
      </c>
      <c r="Y909">
        <v>14.25</v>
      </c>
      <c r="Z909">
        <v>29.38</v>
      </c>
      <c r="AA909">
        <v>14.13</v>
      </c>
      <c r="AB909">
        <v>3.423</v>
      </c>
      <c r="AC909">
        <v>22.27</v>
      </c>
      <c r="AE909">
        <v>1</v>
      </c>
      <c r="AF909" t="s">
        <v>2967</v>
      </c>
      <c r="AG909">
        <v>10</v>
      </c>
      <c r="AK909" t="s">
        <v>291</v>
      </c>
      <c r="AM909" t="s">
        <v>98</v>
      </c>
      <c r="AN909" t="s">
        <v>291</v>
      </c>
      <c r="AO909" t="s">
        <v>98</v>
      </c>
      <c r="AP909" t="s">
        <v>99</v>
      </c>
      <c r="AQ909" t="s">
        <v>102</v>
      </c>
      <c r="AV909" t="s">
        <v>98</v>
      </c>
      <c r="AX909" t="s">
        <v>2968</v>
      </c>
      <c r="AZ909" t="s">
        <v>535</v>
      </c>
      <c r="BB909" t="s">
        <v>106</v>
      </c>
      <c r="BC909" t="s">
        <v>2969</v>
      </c>
      <c r="BF909" t="s">
        <v>2970</v>
      </c>
      <c r="BG909" t="s">
        <v>98</v>
      </c>
      <c r="BH909" t="s">
        <v>98</v>
      </c>
      <c r="BI909" t="s">
        <v>98</v>
      </c>
      <c r="BK909" t="s">
        <v>138</v>
      </c>
      <c r="BU909">
        <v>6</v>
      </c>
      <c r="BW909">
        <v>0.75</v>
      </c>
      <c r="BX909">
        <v>12</v>
      </c>
      <c r="BY909" t="s">
        <v>291</v>
      </c>
      <c r="BZ909" t="s">
        <v>859</v>
      </c>
      <c r="CA909" t="s">
        <v>2971</v>
      </c>
      <c r="CB909" t="s">
        <v>2968</v>
      </c>
      <c r="CC909">
        <v>154</v>
      </c>
      <c r="CD909">
        <v>0.67</v>
      </c>
      <c r="CE909">
        <v>56.82</v>
      </c>
      <c r="CF909">
        <v>10744</v>
      </c>
      <c r="CG909">
        <v>3000</v>
      </c>
      <c r="CH909">
        <v>94</v>
      </c>
      <c r="CI909">
        <v>767.1</v>
      </c>
      <c r="CJ909">
        <v>408</v>
      </c>
      <c r="CK909">
        <v>30000</v>
      </c>
      <c r="CL909" t="s">
        <v>291</v>
      </c>
      <c r="CM909" t="s">
        <v>291</v>
      </c>
      <c r="CN909" t="s">
        <v>2972</v>
      </c>
      <c r="CO909" s="1">
        <v>43070</v>
      </c>
      <c r="CP909" s="1">
        <v>43595</v>
      </c>
    </row>
    <row r="910" spans="1:94" x14ac:dyDescent="0.25">
      <c r="A910" s="4" t="s">
        <v>2973</v>
      </c>
      <c r="B910" t="str">
        <f xml:space="preserve"> "" &amp; 706411059063</f>
        <v>706411059063</v>
      </c>
      <c r="C910" t="s">
        <v>2974</v>
      </c>
      <c r="D910" t="s">
        <v>2965</v>
      </c>
      <c r="E910" t="s">
        <v>2966</v>
      </c>
      <c r="F910" t="s">
        <v>2113</v>
      </c>
      <c r="G910">
        <v>1</v>
      </c>
      <c r="H910">
        <v>1</v>
      </c>
      <c r="I910" t="s">
        <v>97</v>
      </c>
      <c r="J910" s="32">
        <v>214.95</v>
      </c>
      <c r="K910" s="32">
        <v>644.85</v>
      </c>
      <c r="L910">
        <v>0</v>
      </c>
      <c r="N910">
        <v>0</v>
      </c>
      <c r="Q910" t="s">
        <v>291</v>
      </c>
      <c r="R910" s="32">
        <v>429.95</v>
      </c>
      <c r="S910">
        <v>16.5</v>
      </c>
      <c r="T910">
        <v>60</v>
      </c>
      <c r="U910">
        <v>60</v>
      </c>
      <c r="W910">
        <v>17.64</v>
      </c>
      <c r="X910">
        <v>1</v>
      </c>
      <c r="Y910">
        <v>14.25</v>
      </c>
      <c r="Z910">
        <v>29.38</v>
      </c>
      <c r="AA910">
        <v>14.13</v>
      </c>
      <c r="AB910">
        <v>3.423</v>
      </c>
      <c r="AC910">
        <v>22.27</v>
      </c>
      <c r="AE910">
        <v>1</v>
      </c>
      <c r="AF910" t="s">
        <v>2967</v>
      </c>
      <c r="AG910">
        <v>10</v>
      </c>
      <c r="AK910" t="s">
        <v>291</v>
      </c>
      <c r="AM910" t="s">
        <v>98</v>
      </c>
      <c r="AN910" t="s">
        <v>291</v>
      </c>
      <c r="AO910" t="s">
        <v>98</v>
      </c>
      <c r="AP910" t="s">
        <v>99</v>
      </c>
      <c r="AQ910" t="s">
        <v>102</v>
      </c>
      <c r="AV910" t="s">
        <v>98</v>
      </c>
      <c r="AX910" t="s">
        <v>2975</v>
      </c>
      <c r="AZ910" t="s">
        <v>535</v>
      </c>
      <c r="BB910" t="s">
        <v>106</v>
      </c>
      <c r="BC910" t="s">
        <v>2969</v>
      </c>
      <c r="BF910" t="s">
        <v>2976</v>
      </c>
      <c r="BG910" t="s">
        <v>98</v>
      </c>
      <c r="BH910" t="s">
        <v>98</v>
      </c>
      <c r="BI910" t="s">
        <v>98</v>
      </c>
      <c r="BK910" t="s">
        <v>138</v>
      </c>
      <c r="BU910">
        <v>6</v>
      </c>
      <c r="BW910">
        <v>0.75</v>
      </c>
      <c r="BX910">
        <v>12</v>
      </c>
      <c r="BY910" t="s">
        <v>291</v>
      </c>
      <c r="BZ910" t="s">
        <v>2977</v>
      </c>
      <c r="CA910" t="s">
        <v>2971</v>
      </c>
      <c r="CB910" t="s">
        <v>2975</v>
      </c>
      <c r="CC910">
        <v>154</v>
      </c>
      <c r="CD910">
        <v>0.67</v>
      </c>
      <c r="CE910">
        <v>56.82</v>
      </c>
      <c r="CF910">
        <v>10744</v>
      </c>
      <c r="CG910">
        <v>3000</v>
      </c>
      <c r="CH910">
        <v>94</v>
      </c>
      <c r="CI910">
        <v>767.1</v>
      </c>
      <c r="CJ910">
        <v>408</v>
      </c>
      <c r="CK910">
        <v>30000</v>
      </c>
      <c r="CL910" t="s">
        <v>291</v>
      </c>
      <c r="CM910" t="s">
        <v>291</v>
      </c>
      <c r="CN910" t="s">
        <v>2972</v>
      </c>
      <c r="CO910" s="1">
        <v>43070</v>
      </c>
      <c r="CP910" s="1">
        <v>43595</v>
      </c>
    </row>
    <row r="911" spans="1:94" x14ac:dyDescent="0.25">
      <c r="A911" s="4" t="s">
        <v>2978</v>
      </c>
      <c r="B911" t="str">
        <f xml:space="preserve"> "" &amp; 706411059599</f>
        <v>706411059599</v>
      </c>
      <c r="C911" t="s">
        <v>2974</v>
      </c>
      <c r="D911" t="s">
        <v>2965</v>
      </c>
      <c r="E911" t="s">
        <v>2966</v>
      </c>
      <c r="F911" t="s">
        <v>2113</v>
      </c>
      <c r="G911">
        <v>1</v>
      </c>
      <c r="H911">
        <v>1</v>
      </c>
      <c r="I911" t="s">
        <v>97</v>
      </c>
      <c r="J911" s="32">
        <v>214.95</v>
      </c>
      <c r="K911" s="32">
        <v>644.85</v>
      </c>
      <c r="L911">
        <v>0</v>
      </c>
      <c r="N911">
        <v>0</v>
      </c>
      <c r="Q911" t="s">
        <v>291</v>
      </c>
      <c r="R911" s="32">
        <v>429.95</v>
      </c>
      <c r="S911">
        <v>16.5</v>
      </c>
      <c r="T911">
        <v>60</v>
      </c>
      <c r="U911">
        <v>60</v>
      </c>
      <c r="W911">
        <v>17.64</v>
      </c>
      <c r="X911">
        <v>1</v>
      </c>
      <c r="Y911">
        <v>14.25</v>
      </c>
      <c r="Z911">
        <v>29.38</v>
      </c>
      <c r="AA911">
        <v>14.13</v>
      </c>
      <c r="AB911">
        <v>3.423</v>
      </c>
      <c r="AC911">
        <v>22.27</v>
      </c>
      <c r="AE911">
        <v>1</v>
      </c>
      <c r="AF911" t="s">
        <v>2967</v>
      </c>
      <c r="AG911">
        <v>10</v>
      </c>
      <c r="AK911" t="s">
        <v>291</v>
      </c>
      <c r="AM911" t="s">
        <v>98</v>
      </c>
      <c r="AN911" t="s">
        <v>291</v>
      </c>
      <c r="AO911" t="s">
        <v>98</v>
      </c>
      <c r="AP911" t="s">
        <v>99</v>
      </c>
      <c r="AQ911" t="s">
        <v>102</v>
      </c>
      <c r="AV911" t="s">
        <v>98</v>
      </c>
      <c r="AX911" t="s">
        <v>2979</v>
      </c>
      <c r="AZ911" t="s">
        <v>535</v>
      </c>
      <c r="BB911" t="s">
        <v>106</v>
      </c>
      <c r="BC911" t="s">
        <v>2969</v>
      </c>
      <c r="BF911" t="s">
        <v>2980</v>
      </c>
      <c r="BG911" t="s">
        <v>98</v>
      </c>
      <c r="BH911" t="s">
        <v>98</v>
      </c>
      <c r="BI911" t="s">
        <v>98</v>
      </c>
      <c r="BK911" t="s">
        <v>138</v>
      </c>
      <c r="BU911">
        <v>6</v>
      </c>
      <c r="BW911">
        <v>0.75</v>
      </c>
      <c r="BX911">
        <v>12</v>
      </c>
      <c r="BY911" t="s">
        <v>291</v>
      </c>
      <c r="BZ911" t="s">
        <v>2977</v>
      </c>
      <c r="CA911" t="s">
        <v>2971</v>
      </c>
      <c r="CB911" t="s">
        <v>2979</v>
      </c>
      <c r="CC911">
        <v>154</v>
      </c>
      <c r="CD911">
        <v>0.67</v>
      </c>
      <c r="CE911">
        <v>56.82</v>
      </c>
      <c r="CF911">
        <v>10744</v>
      </c>
      <c r="CG911">
        <v>3000</v>
      </c>
      <c r="CH911">
        <v>94</v>
      </c>
      <c r="CI911">
        <v>767.1</v>
      </c>
      <c r="CJ911">
        <v>408</v>
      </c>
      <c r="CK911">
        <v>30000</v>
      </c>
      <c r="CL911" t="s">
        <v>291</v>
      </c>
      <c r="CM911" t="s">
        <v>291</v>
      </c>
      <c r="CN911" t="s">
        <v>2972</v>
      </c>
      <c r="CO911" s="1">
        <v>43153</v>
      </c>
      <c r="CP911" s="1">
        <v>43595</v>
      </c>
    </row>
    <row r="912" spans="1:94" x14ac:dyDescent="0.25">
      <c r="A912" s="4" t="s">
        <v>2981</v>
      </c>
      <c r="B912" t="str">
        <f xml:space="preserve"> "" &amp; 706411059087</f>
        <v>706411059087</v>
      </c>
      <c r="C912" t="s">
        <v>2974</v>
      </c>
      <c r="D912" t="s">
        <v>2965</v>
      </c>
      <c r="E912" t="s">
        <v>2966</v>
      </c>
      <c r="F912" t="s">
        <v>2113</v>
      </c>
      <c r="G912">
        <v>1</v>
      </c>
      <c r="H912">
        <v>1</v>
      </c>
      <c r="I912" t="s">
        <v>97</v>
      </c>
      <c r="J912" s="32">
        <v>214.95</v>
      </c>
      <c r="K912" s="32">
        <v>644.85</v>
      </c>
      <c r="L912">
        <v>0</v>
      </c>
      <c r="N912">
        <v>0</v>
      </c>
      <c r="Q912" t="s">
        <v>291</v>
      </c>
      <c r="R912" s="32">
        <v>429.95</v>
      </c>
      <c r="S912">
        <v>16.5</v>
      </c>
      <c r="T912">
        <v>60</v>
      </c>
      <c r="U912">
        <v>60</v>
      </c>
      <c r="W912">
        <v>17.64</v>
      </c>
      <c r="X912">
        <v>1</v>
      </c>
      <c r="Y912">
        <v>14.25</v>
      </c>
      <c r="Z912">
        <v>29.38</v>
      </c>
      <c r="AA912">
        <v>14.13</v>
      </c>
      <c r="AB912">
        <v>3.423</v>
      </c>
      <c r="AC912">
        <v>22.27</v>
      </c>
      <c r="AE912">
        <v>1</v>
      </c>
      <c r="AF912" t="s">
        <v>2967</v>
      </c>
      <c r="AG912">
        <v>10</v>
      </c>
      <c r="AK912" t="s">
        <v>291</v>
      </c>
      <c r="AM912" t="s">
        <v>98</v>
      </c>
      <c r="AN912" t="s">
        <v>291</v>
      </c>
      <c r="AO912" t="s">
        <v>98</v>
      </c>
      <c r="AP912" t="s">
        <v>99</v>
      </c>
      <c r="AQ912" t="s">
        <v>102</v>
      </c>
      <c r="AV912" t="s">
        <v>98</v>
      </c>
      <c r="AX912" t="s">
        <v>257</v>
      </c>
      <c r="AZ912" t="s">
        <v>535</v>
      </c>
      <c r="BB912" t="s">
        <v>106</v>
      </c>
      <c r="BC912" t="s">
        <v>2969</v>
      </c>
      <c r="BF912" t="s">
        <v>2982</v>
      </c>
      <c r="BG912" t="s">
        <v>291</v>
      </c>
      <c r="BH912" t="s">
        <v>98</v>
      </c>
      <c r="BI912" t="s">
        <v>98</v>
      </c>
      <c r="BK912" t="s">
        <v>138</v>
      </c>
      <c r="BU912">
        <v>6</v>
      </c>
      <c r="BW912">
        <v>0.75</v>
      </c>
      <c r="BX912">
        <v>12</v>
      </c>
      <c r="BY912" t="s">
        <v>291</v>
      </c>
      <c r="BZ912" t="s">
        <v>441</v>
      </c>
      <c r="CA912" t="s">
        <v>2971</v>
      </c>
      <c r="CB912" t="s">
        <v>257</v>
      </c>
      <c r="CC912">
        <v>154</v>
      </c>
      <c r="CD912">
        <v>0.67</v>
      </c>
      <c r="CE912">
        <v>56.82</v>
      </c>
      <c r="CF912">
        <v>10744</v>
      </c>
      <c r="CG912">
        <v>3000</v>
      </c>
      <c r="CH912">
        <v>94</v>
      </c>
      <c r="CI912">
        <v>767.1</v>
      </c>
      <c r="CJ912">
        <v>408</v>
      </c>
      <c r="CK912">
        <v>30000</v>
      </c>
      <c r="CL912" t="s">
        <v>291</v>
      </c>
      <c r="CM912" t="s">
        <v>291</v>
      </c>
      <c r="CN912" t="s">
        <v>2972</v>
      </c>
      <c r="CO912" s="1">
        <v>43073</v>
      </c>
      <c r="CP912" s="1">
        <v>43595</v>
      </c>
    </row>
    <row r="913" spans="1:94" x14ac:dyDescent="0.25">
      <c r="A913" s="4" t="s">
        <v>2983</v>
      </c>
      <c r="B913" t="str">
        <f xml:space="preserve"> "" &amp; 706411042706</f>
        <v>706411042706</v>
      </c>
      <c r="C913" t="s">
        <v>2178</v>
      </c>
      <c r="D913" t="s">
        <v>2984</v>
      </c>
      <c r="E913" t="s">
        <v>2985</v>
      </c>
      <c r="F913" t="s">
        <v>2113</v>
      </c>
      <c r="G913">
        <v>1</v>
      </c>
      <c r="H913">
        <v>1</v>
      </c>
      <c r="I913" t="s">
        <v>97</v>
      </c>
      <c r="J913" s="32">
        <v>119.95</v>
      </c>
      <c r="K913" s="32">
        <v>359.85</v>
      </c>
      <c r="L913">
        <v>0</v>
      </c>
      <c r="N913">
        <v>0</v>
      </c>
      <c r="Q913" t="s">
        <v>291</v>
      </c>
      <c r="R913" s="32">
        <v>239.95</v>
      </c>
      <c r="S913">
        <v>15.5</v>
      </c>
      <c r="T913">
        <v>52</v>
      </c>
      <c r="U913">
        <v>52</v>
      </c>
      <c r="W913">
        <v>18.170000000000002</v>
      </c>
      <c r="X913">
        <v>1</v>
      </c>
      <c r="Y913">
        <v>11.63</v>
      </c>
      <c r="Z913">
        <v>20.88</v>
      </c>
      <c r="AA913">
        <v>15.38</v>
      </c>
      <c r="AB913">
        <v>2.161</v>
      </c>
      <c r="AC913">
        <v>21.91</v>
      </c>
      <c r="AK913" t="s">
        <v>98</v>
      </c>
      <c r="AM913" t="s">
        <v>98</v>
      </c>
      <c r="AN913" t="s">
        <v>291</v>
      </c>
      <c r="AO913" t="s">
        <v>98</v>
      </c>
      <c r="AP913" t="s">
        <v>99</v>
      </c>
      <c r="AQ913" t="s">
        <v>102</v>
      </c>
      <c r="AV913" t="s">
        <v>98</v>
      </c>
      <c r="AX913" t="s">
        <v>190</v>
      </c>
      <c r="AZ913" t="s">
        <v>2118</v>
      </c>
      <c r="BC913" t="s">
        <v>485</v>
      </c>
      <c r="BF913" t="s">
        <v>2986</v>
      </c>
      <c r="BG913" t="s">
        <v>98</v>
      </c>
      <c r="BH913" t="s">
        <v>98</v>
      </c>
      <c r="BI913" t="s">
        <v>98</v>
      </c>
      <c r="BK913" t="s">
        <v>138</v>
      </c>
      <c r="BU913">
        <v>6</v>
      </c>
      <c r="BW913">
        <v>0.75</v>
      </c>
      <c r="BX913">
        <v>12</v>
      </c>
      <c r="BY913" t="s">
        <v>98</v>
      </c>
      <c r="BZ913" t="s">
        <v>2987</v>
      </c>
      <c r="CA913" t="s">
        <v>2988</v>
      </c>
      <c r="CB913" t="s">
        <v>190</v>
      </c>
      <c r="CC913">
        <v>216</v>
      </c>
      <c r="CD913">
        <v>0.6</v>
      </c>
      <c r="CE913">
        <v>72.41</v>
      </c>
      <c r="CF913">
        <v>4740</v>
      </c>
      <c r="CL913" t="s">
        <v>98</v>
      </c>
      <c r="CM913" t="s">
        <v>291</v>
      </c>
      <c r="CN913" t="s">
        <v>2989</v>
      </c>
      <c r="CO913" s="1">
        <v>41046</v>
      </c>
      <c r="CP913" s="1">
        <v>43633</v>
      </c>
    </row>
    <row r="914" spans="1:94" x14ac:dyDescent="0.25">
      <c r="A914" s="4" t="s">
        <v>2990</v>
      </c>
      <c r="B914" t="str">
        <f xml:space="preserve"> "" &amp; 706411042713</f>
        <v>706411042713</v>
      </c>
      <c r="C914" t="s">
        <v>2178</v>
      </c>
      <c r="D914" t="s">
        <v>2984</v>
      </c>
      <c r="E914" t="s">
        <v>2985</v>
      </c>
      <c r="F914" t="s">
        <v>2113</v>
      </c>
      <c r="G914">
        <v>1</v>
      </c>
      <c r="H914">
        <v>1</v>
      </c>
      <c r="I914" t="s">
        <v>97</v>
      </c>
      <c r="J914" s="32">
        <v>119.95</v>
      </c>
      <c r="K914" s="32">
        <v>359.85</v>
      </c>
      <c r="L914">
        <v>0</v>
      </c>
      <c r="N914">
        <v>0</v>
      </c>
      <c r="Q914" t="s">
        <v>291</v>
      </c>
      <c r="R914" s="32">
        <v>239.95</v>
      </c>
      <c r="S914">
        <v>15.5</v>
      </c>
      <c r="T914">
        <v>52</v>
      </c>
      <c r="U914">
        <v>52</v>
      </c>
      <c r="W914">
        <v>18.170000000000002</v>
      </c>
      <c r="X914">
        <v>1</v>
      </c>
      <c r="Y914">
        <v>11.63</v>
      </c>
      <c r="Z914">
        <v>20.88</v>
      </c>
      <c r="AA914">
        <v>15.38</v>
      </c>
      <c r="AB914">
        <v>2.161</v>
      </c>
      <c r="AC914">
        <v>21.91</v>
      </c>
      <c r="AK914" t="s">
        <v>98</v>
      </c>
      <c r="AM914" t="s">
        <v>98</v>
      </c>
      <c r="AN914" t="s">
        <v>291</v>
      </c>
      <c r="AO914" t="s">
        <v>98</v>
      </c>
      <c r="AP914" t="s">
        <v>99</v>
      </c>
      <c r="AQ914" t="s">
        <v>102</v>
      </c>
      <c r="AV914" t="s">
        <v>98</v>
      </c>
      <c r="AX914" t="s">
        <v>219</v>
      </c>
      <c r="AZ914" t="s">
        <v>2118</v>
      </c>
      <c r="BC914" t="s">
        <v>485</v>
      </c>
      <c r="BF914" t="s">
        <v>2991</v>
      </c>
      <c r="BG914" t="s">
        <v>98</v>
      </c>
      <c r="BH914" t="s">
        <v>98</v>
      </c>
      <c r="BI914" t="s">
        <v>98</v>
      </c>
      <c r="BK914" t="s">
        <v>138</v>
      </c>
      <c r="BU914">
        <v>6</v>
      </c>
      <c r="BW914">
        <v>0.75</v>
      </c>
      <c r="BX914">
        <v>12</v>
      </c>
      <c r="BY914" t="s">
        <v>98</v>
      </c>
      <c r="BZ914" t="s">
        <v>2992</v>
      </c>
      <c r="CA914" t="s">
        <v>2988</v>
      </c>
      <c r="CB914" t="s">
        <v>219</v>
      </c>
      <c r="CC914">
        <v>216</v>
      </c>
      <c r="CD914">
        <v>0.6</v>
      </c>
      <c r="CE914">
        <v>72.41</v>
      </c>
      <c r="CF914">
        <v>4740</v>
      </c>
      <c r="CL914" t="s">
        <v>98</v>
      </c>
      <c r="CM914" t="s">
        <v>291</v>
      </c>
      <c r="CN914" t="s">
        <v>2989</v>
      </c>
      <c r="CO914" s="1">
        <v>41046</v>
      </c>
      <c r="CP914" s="1">
        <v>43633</v>
      </c>
    </row>
    <row r="915" spans="1:94" x14ac:dyDescent="0.25">
      <c r="A915" s="4" t="s">
        <v>2993</v>
      </c>
      <c r="B915" t="str">
        <f xml:space="preserve"> "" &amp; 706411042690</f>
        <v>706411042690</v>
      </c>
      <c r="C915" t="s">
        <v>2178</v>
      </c>
      <c r="D915" t="s">
        <v>2984</v>
      </c>
      <c r="E915" t="s">
        <v>2985</v>
      </c>
      <c r="F915" t="s">
        <v>2113</v>
      </c>
      <c r="G915">
        <v>1</v>
      </c>
      <c r="H915">
        <v>1</v>
      </c>
      <c r="I915" t="s">
        <v>97</v>
      </c>
      <c r="J915" s="32">
        <v>119.95</v>
      </c>
      <c r="K915" s="32">
        <v>359.85</v>
      </c>
      <c r="L915">
        <v>0</v>
      </c>
      <c r="N915">
        <v>0</v>
      </c>
      <c r="Q915" t="s">
        <v>291</v>
      </c>
      <c r="R915" s="32">
        <v>239.95</v>
      </c>
      <c r="S915">
        <v>15.5</v>
      </c>
      <c r="T915">
        <v>52</v>
      </c>
      <c r="U915">
        <v>52</v>
      </c>
      <c r="W915">
        <v>18.170000000000002</v>
      </c>
      <c r="X915">
        <v>1</v>
      </c>
      <c r="Y915">
        <v>11.63</v>
      </c>
      <c r="Z915">
        <v>20.88</v>
      </c>
      <c r="AA915">
        <v>15.38</v>
      </c>
      <c r="AB915">
        <v>2.161</v>
      </c>
      <c r="AC915">
        <v>21.91</v>
      </c>
      <c r="AK915" t="s">
        <v>98</v>
      </c>
      <c r="AM915" t="s">
        <v>98</v>
      </c>
      <c r="AN915" t="s">
        <v>291</v>
      </c>
      <c r="AO915" t="s">
        <v>98</v>
      </c>
      <c r="AP915" t="s">
        <v>99</v>
      </c>
      <c r="AQ915" t="s">
        <v>102</v>
      </c>
      <c r="AV915" t="s">
        <v>98</v>
      </c>
      <c r="AX915" t="s">
        <v>261</v>
      </c>
      <c r="AZ915" t="s">
        <v>2118</v>
      </c>
      <c r="BC915" t="s">
        <v>485</v>
      </c>
      <c r="BF915" t="s">
        <v>2994</v>
      </c>
      <c r="BG915" t="s">
        <v>98</v>
      </c>
      <c r="BH915" t="s">
        <v>98</v>
      </c>
      <c r="BI915" t="s">
        <v>98</v>
      </c>
      <c r="BK915" t="s">
        <v>138</v>
      </c>
      <c r="BU915">
        <v>6</v>
      </c>
      <c r="BW915">
        <v>0.75</v>
      </c>
      <c r="BX915">
        <v>12</v>
      </c>
      <c r="BY915" t="s">
        <v>98</v>
      </c>
      <c r="BZ915" t="s">
        <v>2987</v>
      </c>
      <c r="CA915" t="s">
        <v>2988</v>
      </c>
      <c r="CB915" t="s">
        <v>261</v>
      </c>
      <c r="CC915">
        <v>215</v>
      </c>
      <c r="CD915">
        <v>0.6</v>
      </c>
      <c r="CE915">
        <v>72.41</v>
      </c>
      <c r="CF915">
        <v>4740</v>
      </c>
      <c r="CL915" t="s">
        <v>98</v>
      </c>
      <c r="CM915" t="s">
        <v>291</v>
      </c>
      <c r="CN915" t="s">
        <v>2989</v>
      </c>
      <c r="CO915" s="1">
        <v>41046</v>
      </c>
      <c r="CP915" s="1">
        <v>43633</v>
      </c>
    </row>
    <row r="916" spans="1:94" x14ac:dyDescent="0.25">
      <c r="A916" s="4" t="s">
        <v>2995</v>
      </c>
      <c r="B916" t="str">
        <f xml:space="preserve"> "" &amp; 706411044151</f>
        <v>706411044151</v>
      </c>
      <c r="C916" t="s">
        <v>2178</v>
      </c>
      <c r="D916" t="s">
        <v>2984</v>
      </c>
      <c r="E916" t="s">
        <v>2985</v>
      </c>
      <c r="F916" t="s">
        <v>2113</v>
      </c>
      <c r="G916">
        <v>1</v>
      </c>
      <c r="H916">
        <v>1</v>
      </c>
      <c r="I916" t="s">
        <v>97</v>
      </c>
      <c r="J916" s="32">
        <v>119.95</v>
      </c>
      <c r="K916" s="32">
        <v>359.85</v>
      </c>
      <c r="L916">
        <v>0</v>
      </c>
      <c r="N916">
        <v>0</v>
      </c>
      <c r="Q916" t="s">
        <v>291</v>
      </c>
      <c r="R916" s="32">
        <v>229.95</v>
      </c>
      <c r="S916">
        <v>15.5</v>
      </c>
      <c r="T916">
        <v>52</v>
      </c>
      <c r="U916">
        <v>52</v>
      </c>
      <c r="W916">
        <v>18.170000000000002</v>
      </c>
      <c r="X916">
        <v>1</v>
      </c>
      <c r="Y916">
        <v>11.63</v>
      </c>
      <c r="Z916">
        <v>20.88</v>
      </c>
      <c r="AA916">
        <v>15.38</v>
      </c>
      <c r="AB916">
        <v>2.161</v>
      </c>
      <c r="AC916">
        <v>21.91</v>
      </c>
      <c r="AK916" t="s">
        <v>98</v>
      </c>
      <c r="AM916" t="s">
        <v>98</v>
      </c>
      <c r="AN916" t="s">
        <v>291</v>
      </c>
      <c r="AO916" t="s">
        <v>98</v>
      </c>
      <c r="AP916" t="s">
        <v>99</v>
      </c>
      <c r="AQ916" t="s">
        <v>102</v>
      </c>
      <c r="AV916" t="s">
        <v>98</v>
      </c>
      <c r="AX916" t="s">
        <v>302</v>
      </c>
      <c r="AZ916" t="s">
        <v>2118</v>
      </c>
      <c r="BC916" t="s">
        <v>485</v>
      </c>
      <c r="BF916" t="s">
        <v>2996</v>
      </c>
      <c r="BG916" t="s">
        <v>98</v>
      </c>
      <c r="BH916" t="s">
        <v>98</v>
      </c>
      <c r="BI916" t="s">
        <v>98</v>
      </c>
      <c r="BK916" t="s">
        <v>138</v>
      </c>
      <c r="BU916">
        <v>6</v>
      </c>
      <c r="BW916">
        <v>0.75</v>
      </c>
      <c r="BX916">
        <v>12</v>
      </c>
      <c r="BY916" t="s">
        <v>98</v>
      </c>
      <c r="BZ916" t="s">
        <v>302</v>
      </c>
      <c r="CA916" t="s">
        <v>2988</v>
      </c>
      <c r="CB916" t="s">
        <v>302</v>
      </c>
      <c r="CC916">
        <v>215</v>
      </c>
      <c r="CD916">
        <v>0.6</v>
      </c>
      <c r="CE916">
        <v>72.099999999999994</v>
      </c>
      <c r="CF916">
        <v>4740</v>
      </c>
      <c r="CL916" t="s">
        <v>98</v>
      </c>
      <c r="CM916" t="s">
        <v>291</v>
      </c>
      <c r="CN916" t="s">
        <v>2794</v>
      </c>
      <c r="CO916" s="1">
        <v>41239</v>
      </c>
      <c r="CP916" s="1">
        <v>43633</v>
      </c>
    </row>
    <row r="917" spans="1:94" x14ac:dyDescent="0.25">
      <c r="A917" s="4" t="s">
        <v>2997</v>
      </c>
      <c r="B917" t="str">
        <f xml:space="preserve"> "" &amp; 706411042676</f>
        <v>706411042676</v>
      </c>
      <c r="C917" t="s">
        <v>2178</v>
      </c>
      <c r="D917" t="s">
        <v>2998</v>
      </c>
      <c r="E917" t="s">
        <v>2999</v>
      </c>
      <c r="F917" t="s">
        <v>2113</v>
      </c>
      <c r="G917">
        <v>1</v>
      </c>
      <c r="H917">
        <v>1</v>
      </c>
      <c r="I917" t="s">
        <v>97</v>
      </c>
      <c r="J917" s="32">
        <v>169.95</v>
      </c>
      <c r="K917" s="32">
        <v>509.85</v>
      </c>
      <c r="L917">
        <v>0</v>
      </c>
      <c r="N917">
        <v>0</v>
      </c>
      <c r="Q917" t="s">
        <v>291</v>
      </c>
      <c r="R917" s="32">
        <v>339.95</v>
      </c>
      <c r="S917">
        <v>13.25</v>
      </c>
      <c r="T917">
        <v>60</v>
      </c>
      <c r="U917">
        <v>60</v>
      </c>
      <c r="W917">
        <v>22.66</v>
      </c>
      <c r="X917">
        <v>1</v>
      </c>
      <c r="Y917">
        <v>11.38</v>
      </c>
      <c r="Z917">
        <v>24.88</v>
      </c>
      <c r="AA917">
        <v>15.63</v>
      </c>
      <c r="AB917">
        <v>2.5609999999999999</v>
      </c>
      <c r="AC917">
        <v>26.63</v>
      </c>
      <c r="AK917" t="s">
        <v>98</v>
      </c>
      <c r="AM917" t="s">
        <v>98</v>
      </c>
      <c r="AN917" t="s">
        <v>291</v>
      </c>
      <c r="AO917" t="s">
        <v>98</v>
      </c>
      <c r="AP917" t="s">
        <v>99</v>
      </c>
      <c r="AQ917" t="s">
        <v>102</v>
      </c>
      <c r="AV917" t="s">
        <v>98</v>
      </c>
      <c r="AX917" t="s">
        <v>190</v>
      </c>
      <c r="AZ917" t="s">
        <v>2118</v>
      </c>
      <c r="BC917" t="s">
        <v>485</v>
      </c>
      <c r="BF917" t="s">
        <v>3000</v>
      </c>
      <c r="BG917" t="s">
        <v>98</v>
      </c>
      <c r="BH917" t="s">
        <v>98</v>
      </c>
      <c r="BI917" t="s">
        <v>98</v>
      </c>
      <c r="BK917" t="s">
        <v>138</v>
      </c>
      <c r="BU917">
        <v>6</v>
      </c>
      <c r="BW917">
        <v>0.75</v>
      </c>
      <c r="BX917">
        <v>12</v>
      </c>
      <c r="BY917" t="s">
        <v>98</v>
      </c>
      <c r="BZ917" t="s">
        <v>2987</v>
      </c>
      <c r="CA917" t="s">
        <v>3001</v>
      </c>
      <c r="CB917" t="s">
        <v>190</v>
      </c>
      <c r="CC917">
        <v>160</v>
      </c>
      <c r="CD917">
        <v>0.70899999999999996</v>
      </c>
      <c r="CE917">
        <v>84.6</v>
      </c>
      <c r="CF917">
        <v>7557</v>
      </c>
      <c r="CL917" t="s">
        <v>98</v>
      </c>
      <c r="CM917" t="s">
        <v>291</v>
      </c>
      <c r="CO917" s="1">
        <v>41046</v>
      </c>
      <c r="CP917" s="1">
        <v>43595</v>
      </c>
    </row>
    <row r="918" spans="1:94" x14ac:dyDescent="0.25">
      <c r="A918" s="4" t="s">
        <v>3002</v>
      </c>
      <c r="B918" t="str">
        <f xml:space="preserve"> "" &amp; 706411042683</f>
        <v>706411042683</v>
      </c>
      <c r="C918" t="s">
        <v>2178</v>
      </c>
      <c r="D918" t="s">
        <v>2998</v>
      </c>
      <c r="E918" t="s">
        <v>2999</v>
      </c>
      <c r="F918" t="s">
        <v>2113</v>
      </c>
      <c r="G918">
        <v>1</v>
      </c>
      <c r="H918">
        <v>1</v>
      </c>
      <c r="I918" t="s">
        <v>97</v>
      </c>
      <c r="J918" s="32">
        <v>169.95</v>
      </c>
      <c r="K918" s="32">
        <v>509.85</v>
      </c>
      <c r="L918">
        <v>0</v>
      </c>
      <c r="N918">
        <v>0</v>
      </c>
      <c r="Q918" t="s">
        <v>291</v>
      </c>
      <c r="R918" s="32">
        <v>339.95</v>
      </c>
      <c r="S918">
        <v>13.25</v>
      </c>
      <c r="T918">
        <v>60</v>
      </c>
      <c r="U918">
        <v>60</v>
      </c>
      <c r="W918">
        <v>22.66</v>
      </c>
      <c r="X918">
        <v>1</v>
      </c>
      <c r="Y918">
        <v>11.38</v>
      </c>
      <c r="Z918">
        <v>24.88</v>
      </c>
      <c r="AA918">
        <v>15.63</v>
      </c>
      <c r="AB918">
        <v>2.5609999999999999</v>
      </c>
      <c r="AC918">
        <v>26.63</v>
      </c>
      <c r="AK918" t="s">
        <v>98</v>
      </c>
      <c r="AM918" t="s">
        <v>98</v>
      </c>
      <c r="AN918" t="s">
        <v>291</v>
      </c>
      <c r="AO918" t="s">
        <v>98</v>
      </c>
      <c r="AP918" t="s">
        <v>99</v>
      </c>
      <c r="AQ918" t="s">
        <v>102</v>
      </c>
      <c r="AV918" t="s">
        <v>98</v>
      </c>
      <c r="AX918" t="s">
        <v>219</v>
      </c>
      <c r="AZ918" t="s">
        <v>2118</v>
      </c>
      <c r="BC918" t="s">
        <v>485</v>
      </c>
      <c r="BF918" t="s">
        <v>3003</v>
      </c>
      <c r="BG918" t="s">
        <v>98</v>
      </c>
      <c r="BH918" t="s">
        <v>98</v>
      </c>
      <c r="BI918" t="s">
        <v>98</v>
      </c>
      <c r="BK918" t="s">
        <v>138</v>
      </c>
      <c r="BU918">
        <v>6</v>
      </c>
      <c r="BW918">
        <v>0.75</v>
      </c>
      <c r="BX918">
        <v>12</v>
      </c>
      <c r="BY918" t="s">
        <v>98</v>
      </c>
      <c r="BZ918" t="s">
        <v>3004</v>
      </c>
      <c r="CA918" t="s">
        <v>3001</v>
      </c>
      <c r="CB918" t="s">
        <v>219</v>
      </c>
      <c r="CC918">
        <v>160</v>
      </c>
      <c r="CD918">
        <v>0.70899999999999996</v>
      </c>
      <c r="CE918">
        <v>84.6</v>
      </c>
      <c r="CF918">
        <v>7557</v>
      </c>
      <c r="CL918" t="s">
        <v>98</v>
      </c>
      <c r="CM918" t="s">
        <v>291</v>
      </c>
      <c r="CO918" s="1">
        <v>41047</v>
      </c>
      <c r="CP918" s="1">
        <v>43595</v>
      </c>
    </row>
    <row r="919" spans="1:94" x14ac:dyDescent="0.25">
      <c r="A919" s="4" t="s">
        <v>3005</v>
      </c>
      <c r="B919" t="str">
        <f xml:space="preserve"> "" &amp; 706411042669</f>
        <v>706411042669</v>
      </c>
      <c r="C919" t="s">
        <v>2178</v>
      </c>
      <c r="D919" t="s">
        <v>2998</v>
      </c>
      <c r="E919" t="s">
        <v>2999</v>
      </c>
      <c r="F919" t="s">
        <v>2113</v>
      </c>
      <c r="G919">
        <v>1</v>
      </c>
      <c r="H919">
        <v>1</v>
      </c>
      <c r="I919" t="s">
        <v>97</v>
      </c>
      <c r="J919" s="32">
        <v>169.95</v>
      </c>
      <c r="K919" s="32">
        <v>509.85</v>
      </c>
      <c r="L919">
        <v>0</v>
      </c>
      <c r="N919">
        <v>0</v>
      </c>
      <c r="Q919" t="s">
        <v>291</v>
      </c>
      <c r="R919" s="32">
        <v>339.95</v>
      </c>
      <c r="S919">
        <v>13.25</v>
      </c>
      <c r="T919">
        <v>60</v>
      </c>
      <c r="U919">
        <v>60</v>
      </c>
      <c r="W919">
        <v>22.66</v>
      </c>
      <c r="X919">
        <v>1</v>
      </c>
      <c r="Y919">
        <v>11.38</v>
      </c>
      <c r="Z919">
        <v>24.88</v>
      </c>
      <c r="AA919">
        <v>15.63</v>
      </c>
      <c r="AB919">
        <v>2.5609999999999999</v>
      </c>
      <c r="AC919">
        <v>26.63</v>
      </c>
      <c r="AK919" t="s">
        <v>98</v>
      </c>
      <c r="AM919" t="s">
        <v>98</v>
      </c>
      <c r="AN919" t="s">
        <v>291</v>
      </c>
      <c r="AO919" t="s">
        <v>98</v>
      </c>
      <c r="AP919" t="s">
        <v>99</v>
      </c>
      <c r="AQ919" t="s">
        <v>102</v>
      </c>
      <c r="AV919" t="s">
        <v>98</v>
      </c>
      <c r="AX919" t="s">
        <v>261</v>
      </c>
      <c r="AZ919" t="s">
        <v>2118</v>
      </c>
      <c r="BC919" t="s">
        <v>485</v>
      </c>
      <c r="BF919" t="s">
        <v>3006</v>
      </c>
      <c r="BG919" t="s">
        <v>98</v>
      </c>
      <c r="BH919" t="s">
        <v>98</v>
      </c>
      <c r="BI919" t="s">
        <v>98</v>
      </c>
      <c r="BK919" t="s">
        <v>138</v>
      </c>
      <c r="BU919">
        <v>6</v>
      </c>
      <c r="BW919">
        <v>0.75</v>
      </c>
      <c r="BX919">
        <v>12</v>
      </c>
      <c r="BY919" t="s">
        <v>98</v>
      </c>
      <c r="BZ919" t="s">
        <v>2987</v>
      </c>
      <c r="CA919" t="s">
        <v>3001</v>
      </c>
      <c r="CB919" t="s">
        <v>261</v>
      </c>
      <c r="CC919">
        <v>160</v>
      </c>
      <c r="CD919">
        <v>0.70899999999999996</v>
      </c>
      <c r="CE919">
        <v>84.6</v>
      </c>
      <c r="CF919">
        <v>7557</v>
      </c>
      <c r="CL919" t="s">
        <v>98</v>
      </c>
      <c r="CM919" t="s">
        <v>291</v>
      </c>
      <c r="CO919" s="1">
        <v>41047</v>
      </c>
      <c r="CP919" s="1">
        <v>43668</v>
      </c>
    </row>
    <row r="920" spans="1:94" x14ac:dyDescent="0.25">
      <c r="A920" s="4" t="s">
        <v>3007</v>
      </c>
      <c r="B920" t="str">
        <f xml:space="preserve"> "" &amp; 706411044168</f>
        <v>706411044168</v>
      </c>
      <c r="C920" t="s">
        <v>2178</v>
      </c>
      <c r="D920" t="s">
        <v>2998</v>
      </c>
      <c r="E920" t="s">
        <v>2999</v>
      </c>
      <c r="F920" t="s">
        <v>2113</v>
      </c>
      <c r="G920">
        <v>1</v>
      </c>
      <c r="H920">
        <v>1</v>
      </c>
      <c r="I920" t="s">
        <v>97</v>
      </c>
      <c r="J920" s="32">
        <v>169.95</v>
      </c>
      <c r="K920" s="32">
        <v>509.85</v>
      </c>
      <c r="L920">
        <v>0</v>
      </c>
      <c r="N920">
        <v>0</v>
      </c>
      <c r="Q920" t="s">
        <v>291</v>
      </c>
      <c r="R920" s="32">
        <v>339.95</v>
      </c>
      <c r="S920">
        <v>13.25</v>
      </c>
      <c r="T920">
        <v>60</v>
      </c>
      <c r="U920">
        <v>60</v>
      </c>
      <c r="W920">
        <v>22.66</v>
      </c>
      <c r="X920">
        <v>1</v>
      </c>
      <c r="Y920">
        <v>11.38</v>
      </c>
      <c r="Z920">
        <v>24.88</v>
      </c>
      <c r="AA920">
        <v>15.63</v>
      </c>
      <c r="AB920">
        <v>2.5609999999999999</v>
      </c>
      <c r="AC920">
        <v>26.63</v>
      </c>
      <c r="AK920" t="s">
        <v>98</v>
      </c>
      <c r="AM920" t="s">
        <v>98</v>
      </c>
      <c r="AN920" t="s">
        <v>291</v>
      </c>
      <c r="AO920" t="s">
        <v>98</v>
      </c>
      <c r="AP920" t="s">
        <v>99</v>
      </c>
      <c r="AQ920" t="s">
        <v>102</v>
      </c>
      <c r="AV920" t="s">
        <v>98</v>
      </c>
      <c r="AX920" t="s">
        <v>302</v>
      </c>
      <c r="AZ920" t="s">
        <v>2118</v>
      </c>
      <c r="BC920" t="s">
        <v>485</v>
      </c>
      <c r="BF920" t="s">
        <v>3008</v>
      </c>
      <c r="BG920" t="s">
        <v>98</v>
      </c>
      <c r="BH920" t="s">
        <v>98</v>
      </c>
      <c r="BI920" t="s">
        <v>98</v>
      </c>
      <c r="BK920" t="s">
        <v>138</v>
      </c>
      <c r="BU920">
        <v>6</v>
      </c>
      <c r="BW920">
        <v>0.75</v>
      </c>
      <c r="BX920">
        <v>12</v>
      </c>
      <c r="BY920" t="s">
        <v>98</v>
      </c>
      <c r="BZ920" t="s">
        <v>302</v>
      </c>
      <c r="CA920" t="s">
        <v>3001</v>
      </c>
      <c r="CB920" t="s">
        <v>302</v>
      </c>
      <c r="CC920">
        <v>160</v>
      </c>
      <c r="CD920">
        <v>0.70899999999999996</v>
      </c>
      <c r="CE920">
        <v>84.6</v>
      </c>
      <c r="CF920">
        <v>7557</v>
      </c>
      <c r="CL920" t="s">
        <v>98</v>
      </c>
      <c r="CM920" t="s">
        <v>291</v>
      </c>
      <c r="CO920" s="1">
        <v>41239</v>
      </c>
      <c r="CP920" s="1">
        <v>43595</v>
      </c>
    </row>
    <row r="921" spans="1:94" x14ac:dyDescent="0.25">
      <c r="A921" s="4" t="s">
        <v>3011</v>
      </c>
      <c r="B921" t="str">
        <f xml:space="preserve"> "" &amp; 706411058936</f>
        <v>706411058936</v>
      </c>
      <c r="C921" t="s">
        <v>2140</v>
      </c>
      <c r="D921" t="s">
        <v>3012</v>
      </c>
      <c r="E921" t="s">
        <v>3009</v>
      </c>
      <c r="F921" t="s">
        <v>2113</v>
      </c>
      <c r="G921">
        <v>1</v>
      </c>
      <c r="H921">
        <v>1</v>
      </c>
      <c r="I921" t="s">
        <v>97</v>
      </c>
      <c r="J921" s="32">
        <v>149.94999999999999</v>
      </c>
      <c r="K921" s="32">
        <v>449.85</v>
      </c>
      <c r="L921">
        <v>0</v>
      </c>
      <c r="N921">
        <v>0</v>
      </c>
      <c r="Q921" t="s">
        <v>291</v>
      </c>
      <c r="R921" s="32">
        <v>299.95</v>
      </c>
      <c r="S921">
        <v>14.25</v>
      </c>
      <c r="T921">
        <v>52</v>
      </c>
      <c r="U921">
        <v>52</v>
      </c>
      <c r="W921">
        <v>20.46</v>
      </c>
      <c r="X921">
        <v>1</v>
      </c>
      <c r="Y921">
        <v>10.63</v>
      </c>
      <c r="Z921">
        <v>24.5</v>
      </c>
      <c r="AA921">
        <v>13.88</v>
      </c>
      <c r="AB921">
        <v>2.0920000000000001</v>
      </c>
      <c r="AC921">
        <v>23.81</v>
      </c>
      <c r="AE921">
        <v>1</v>
      </c>
      <c r="AF921" t="s">
        <v>2141</v>
      </c>
      <c r="AG921">
        <v>18</v>
      </c>
      <c r="AK921" t="s">
        <v>291</v>
      </c>
      <c r="AM921" t="s">
        <v>98</v>
      </c>
      <c r="AN921" t="s">
        <v>98</v>
      </c>
      <c r="AO921" t="s">
        <v>291</v>
      </c>
      <c r="AP921" t="s">
        <v>99</v>
      </c>
      <c r="AQ921" t="s">
        <v>102</v>
      </c>
      <c r="AV921" t="s">
        <v>98</v>
      </c>
      <c r="AX921" t="s">
        <v>2129</v>
      </c>
      <c r="AZ921" t="s">
        <v>535</v>
      </c>
      <c r="BB921" t="s">
        <v>106</v>
      </c>
      <c r="BC921" t="s">
        <v>302</v>
      </c>
      <c r="BF921" t="s">
        <v>3013</v>
      </c>
      <c r="BG921" t="s">
        <v>98</v>
      </c>
      <c r="BH921" t="s">
        <v>98</v>
      </c>
      <c r="BI921" t="s">
        <v>98</v>
      </c>
      <c r="BK921" t="s">
        <v>138</v>
      </c>
      <c r="BU921">
        <v>6</v>
      </c>
      <c r="BW921">
        <v>0.75</v>
      </c>
      <c r="BX921">
        <v>14</v>
      </c>
      <c r="BY921" t="s">
        <v>291</v>
      </c>
      <c r="BZ921" t="s">
        <v>441</v>
      </c>
      <c r="CA921" t="s">
        <v>3010</v>
      </c>
      <c r="CB921" t="s">
        <v>2129</v>
      </c>
      <c r="CC921">
        <v>161</v>
      </c>
      <c r="CD921">
        <v>0.57999999999999996</v>
      </c>
      <c r="CE921">
        <v>70.099999999999994</v>
      </c>
      <c r="CF921">
        <v>5124</v>
      </c>
      <c r="CG921">
        <v>3000</v>
      </c>
      <c r="CH921">
        <v>92</v>
      </c>
      <c r="CI921">
        <v>1496</v>
      </c>
      <c r="CJ921">
        <v>618</v>
      </c>
      <c r="CK921">
        <v>30000</v>
      </c>
      <c r="CL921" t="s">
        <v>291</v>
      </c>
      <c r="CM921" t="s">
        <v>291</v>
      </c>
      <c r="CN921" t="s">
        <v>3014</v>
      </c>
      <c r="CO921" s="1">
        <v>43070</v>
      </c>
      <c r="CP921" s="1">
        <v>43595</v>
      </c>
    </row>
    <row r="922" spans="1:94" x14ac:dyDescent="0.25">
      <c r="A922" s="4" t="s">
        <v>3015</v>
      </c>
      <c r="B922" t="str">
        <f xml:space="preserve"> "" &amp; 706411058943</f>
        <v>706411058943</v>
      </c>
      <c r="C922" t="s">
        <v>2216</v>
      </c>
      <c r="D922" t="s">
        <v>3012</v>
      </c>
      <c r="E922" t="s">
        <v>3009</v>
      </c>
      <c r="F922" t="s">
        <v>2113</v>
      </c>
      <c r="G922">
        <v>1</v>
      </c>
      <c r="H922">
        <v>1</v>
      </c>
      <c r="I922" t="s">
        <v>97</v>
      </c>
      <c r="J922" s="32">
        <v>149.94999999999999</v>
      </c>
      <c r="K922" s="32">
        <v>449.85</v>
      </c>
      <c r="L922">
        <v>0</v>
      </c>
      <c r="N922">
        <v>0</v>
      </c>
      <c r="Q922" t="s">
        <v>291</v>
      </c>
      <c r="R922" s="32">
        <v>299.95</v>
      </c>
      <c r="S922">
        <v>14.25</v>
      </c>
      <c r="T922">
        <v>52</v>
      </c>
      <c r="U922">
        <v>52</v>
      </c>
      <c r="W922">
        <v>20.46</v>
      </c>
      <c r="X922">
        <v>1</v>
      </c>
      <c r="Y922">
        <v>10.63</v>
      </c>
      <c r="Z922">
        <v>24.5</v>
      </c>
      <c r="AA922">
        <v>13.88</v>
      </c>
      <c r="AB922">
        <v>2.0920000000000001</v>
      </c>
      <c r="AC922">
        <v>23.81</v>
      </c>
      <c r="AE922">
        <v>1</v>
      </c>
      <c r="AF922" t="s">
        <v>2141</v>
      </c>
      <c r="AG922">
        <v>18</v>
      </c>
      <c r="AK922" t="s">
        <v>291</v>
      </c>
      <c r="AM922" t="s">
        <v>98</v>
      </c>
      <c r="AN922" t="s">
        <v>98</v>
      </c>
      <c r="AO922" t="s">
        <v>291</v>
      </c>
      <c r="AP922" t="s">
        <v>99</v>
      </c>
      <c r="AQ922" t="s">
        <v>102</v>
      </c>
      <c r="AV922" t="s">
        <v>98</v>
      </c>
      <c r="AX922" t="s">
        <v>3016</v>
      </c>
      <c r="AZ922" t="s">
        <v>535</v>
      </c>
      <c r="BB922" t="s">
        <v>106</v>
      </c>
      <c r="BC922" t="s">
        <v>2152</v>
      </c>
      <c r="BF922" t="s">
        <v>3017</v>
      </c>
      <c r="BG922" t="s">
        <v>98</v>
      </c>
      <c r="BH922" t="s">
        <v>98</v>
      </c>
      <c r="BI922" t="s">
        <v>98</v>
      </c>
      <c r="BK922" t="s">
        <v>138</v>
      </c>
      <c r="BU922">
        <v>6</v>
      </c>
      <c r="BW922">
        <v>0.75</v>
      </c>
      <c r="BX922" t="s">
        <v>2206</v>
      </c>
      <c r="BY922" t="s">
        <v>291</v>
      </c>
      <c r="BZ922" t="s">
        <v>2159</v>
      </c>
      <c r="CA922" t="s">
        <v>3010</v>
      </c>
      <c r="CB922" t="s">
        <v>3016</v>
      </c>
      <c r="CC922">
        <v>161</v>
      </c>
      <c r="CD922">
        <v>0.57999999999999996</v>
      </c>
      <c r="CE922">
        <v>70.099999999999994</v>
      </c>
      <c r="CF922">
        <v>5124</v>
      </c>
      <c r="CG922">
        <v>3000</v>
      </c>
      <c r="CH922">
        <v>92</v>
      </c>
      <c r="CI922">
        <v>1497</v>
      </c>
      <c r="CJ922">
        <v>618</v>
      </c>
      <c r="CK922">
        <v>30000</v>
      </c>
      <c r="CL922" t="s">
        <v>291</v>
      </c>
      <c r="CM922" t="s">
        <v>291</v>
      </c>
      <c r="CN922" t="s">
        <v>3014</v>
      </c>
      <c r="CO922" s="1">
        <v>43070</v>
      </c>
      <c r="CP922" s="1">
        <v>43595</v>
      </c>
    </row>
    <row r="923" spans="1:94" x14ac:dyDescent="0.25">
      <c r="A923" s="4" t="s">
        <v>3018</v>
      </c>
      <c r="B923" t="str">
        <f xml:space="preserve"> "" &amp; 706411058950</f>
        <v>706411058950</v>
      </c>
      <c r="C923" t="s">
        <v>2216</v>
      </c>
      <c r="D923" t="s">
        <v>3012</v>
      </c>
      <c r="E923" t="s">
        <v>3009</v>
      </c>
      <c r="F923" t="s">
        <v>2113</v>
      </c>
      <c r="G923">
        <v>1</v>
      </c>
      <c r="H923">
        <v>1</v>
      </c>
      <c r="I923" t="s">
        <v>97</v>
      </c>
      <c r="J923" s="32">
        <v>149.94999999999999</v>
      </c>
      <c r="K923" s="32">
        <v>449.85</v>
      </c>
      <c r="L923">
        <v>0</v>
      </c>
      <c r="N923">
        <v>0</v>
      </c>
      <c r="Q923" t="s">
        <v>291</v>
      </c>
      <c r="R923" s="32">
        <v>299.95</v>
      </c>
      <c r="S923">
        <v>14.25</v>
      </c>
      <c r="T923">
        <v>52</v>
      </c>
      <c r="U923">
        <v>52</v>
      </c>
      <c r="W923">
        <v>20.46</v>
      </c>
      <c r="X923">
        <v>1</v>
      </c>
      <c r="Y923">
        <v>10.63</v>
      </c>
      <c r="Z923">
        <v>24.5</v>
      </c>
      <c r="AA923">
        <v>13.88</v>
      </c>
      <c r="AB923">
        <v>2.0920000000000001</v>
      </c>
      <c r="AC923">
        <v>23.81</v>
      </c>
      <c r="AE923">
        <v>1</v>
      </c>
      <c r="AF923" t="s">
        <v>2141</v>
      </c>
      <c r="AG923">
        <v>18</v>
      </c>
      <c r="AK923" t="s">
        <v>291</v>
      </c>
      <c r="AM923" t="s">
        <v>98</v>
      </c>
      <c r="AN923" t="s">
        <v>98</v>
      </c>
      <c r="AO923" t="s">
        <v>291</v>
      </c>
      <c r="AP923" t="s">
        <v>99</v>
      </c>
      <c r="AQ923" t="s">
        <v>102</v>
      </c>
      <c r="AV923" t="s">
        <v>98</v>
      </c>
      <c r="AX923" t="s">
        <v>302</v>
      </c>
      <c r="AZ923" t="s">
        <v>535</v>
      </c>
      <c r="BB923" t="s">
        <v>106</v>
      </c>
      <c r="BC923" t="s">
        <v>302</v>
      </c>
      <c r="BF923" t="s">
        <v>3019</v>
      </c>
      <c r="BG923" t="s">
        <v>98</v>
      </c>
      <c r="BH923" t="s">
        <v>98</v>
      </c>
      <c r="BI923" t="s">
        <v>98</v>
      </c>
      <c r="BK923" t="s">
        <v>138</v>
      </c>
      <c r="BU923">
        <v>6</v>
      </c>
      <c r="BW923">
        <v>0.75</v>
      </c>
      <c r="BX923" t="s">
        <v>2206</v>
      </c>
      <c r="BY923" t="s">
        <v>291</v>
      </c>
      <c r="BZ923" t="s">
        <v>302</v>
      </c>
      <c r="CA923" t="s">
        <v>3010</v>
      </c>
      <c r="CB923" t="s">
        <v>302</v>
      </c>
      <c r="CC923">
        <v>161</v>
      </c>
      <c r="CD923">
        <v>0.57999999999999996</v>
      </c>
      <c r="CE923">
        <v>70.099999999999994</v>
      </c>
      <c r="CF923">
        <v>5124</v>
      </c>
      <c r="CG923">
        <v>3000</v>
      </c>
      <c r="CH923">
        <v>80</v>
      </c>
      <c r="CI923">
        <v>1496</v>
      </c>
      <c r="CJ923">
        <v>618</v>
      </c>
      <c r="CK923">
        <v>30000</v>
      </c>
      <c r="CL923" t="s">
        <v>291</v>
      </c>
      <c r="CM923" t="s">
        <v>291</v>
      </c>
      <c r="CN923" t="s">
        <v>3014</v>
      </c>
      <c r="CO923" s="1">
        <v>43070</v>
      </c>
      <c r="CP923" s="1">
        <v>43595</v>
      </c>
    </row>
    <row r="924" spans="1:94" x14ac:dyDescent="0.25">
      <c r="A924" s="4" t="s">
        <v>3020</v>
      </c>
      <c r="B924" t="str">
        <f xml:space="preserve"> "" &amp; 706411056505</f>
        <v>706411056505</v>
      </c>
      <c r="C924" t="s">
        <v>2382</v>
      </c>
      <c r="D924" t="s">
        <v>3021</v>
      </c>
      <c r="E924" t="s">
        <v>3022</v>
      </c>
      <c r="F924" t="s">
        <v>2113</v>
      </c>
      <c r="G924">
        <v>1</v>
      </c>
      <c r="H924">
        <v>1</v>
      </c>
      <c r="I924" t="s">
        <v>97</v>
      </c>
      <c r="J924" s="32">
        <v>119.95</v>
      </c>
      <c r="K924" s="32">
        <v>359.85</v>
      </c>
      <c r="L924">
        <v>0</v>
      </c>
      <c r="N924">
        <v>0</v>
      </c>
      <c r="Q924" t="s">
        <v>291</v>
      </c>
      <c r="R924" s="32">
        <v>239.95</v>
      </c>
      <c r="S924">
        <v>15</v>
      </c>
      <c r="T924">
        <v>52</v>
      </c>
      <c r="U924">
        <v>52</v>
      </c>
      <c r="W924">
        <v>17.989999999999998</v>
      </c>
      <c r="X924">
        <v>1</v>
      </c>
      <c r="Y924">
        <v>11.63</v>
      </c>
      <c r="Z924">
        <v>20.88</v>
      </c>
      <c r="AA924">
        <v>15.38</v>
      </c>
      <c r="AB924">
        <v>2.161</v>
      </c>
      <c r="AC924">
        <v>21.74</v>
      </c>
      <c r="AK924" t="s">
        <v>98</v>
      </c>
      <c r="AM924" t="s">
        <v>98</v>
      </c>
      <c r="AN924" t="s">
        <v>291</v>
      </c>
      <c r="AO924" t="s">
        <v>98</v>
      </c>
      <c r="AP924" t="s">
        <v>99</v>
      </c>
      <c r="AQ924" t="s">
        <v>102</v>
      </c>
      <c r="AV924" t="s">
        <v>98</v>
      </c>
      <c r="AX924" t="s">
        <v>154</v>
      </c>
      <c r="AZ924" t="s">
        <v>535</v>
      </c>
      <c r="BF924" t="s">
        <v>3023</v>
      </c>
      <c r="BG924" t="s">
        <v>98</v>
      </c>
      <c r="BH924" t="s">
        <v>98</v>
      </c>
      <c r="BI924" t="s">
        <v>98</v>
      </c>
      <c r="BK924" t="s">
        <v>138</v>
      </c>
      <c r="BU924">
        <v>6</v>
      </c>
      <c r="BW924">
        <v>0.75</v>
      </c>
      <c r="BX924" t="s">
        <v>2443</v>
      </c>
      <c r="BZ924" t="s">
        <v>2463</v>
      </c>
      <c r="CA924" t="s">
        <v>3024</v>
      </c>
      <c r="CB924" t="s">
        <v>154</v>
      </c>
      <c r="CC924">
        <v>185</v>
      </c>
      <c r="CD924">
        <v>0.64</v>
      </c>
      <c r="CE924">
        <v>76.62</v>
      </c>
      <c r="CF924">
        <v>5741</v>
      </c>
      <c r="CL924" t="s">
        <v>98</v>
      </c>
      <c r="CM924" t="s">
        <v>291</v>
      </c>
      <c r="CN924" t="s">
        <v>2794</v>
      </c>
      <c r="CO924" s="1">
        <v>42748</v>
      </c>
      <c r="CP924" s="1">
        <v>43595</v>
      </c>
    </row>
    <row r="925" spans="1:94" x14ac:dyDescent="0.25">
      <c r="A925" s="4" t="s">
        <v>3025</v>
      </c>
      <c r="B925" t="str">
        <f xml:space="preserve"> "" &amp; 706411060816</f>
        <v>706411060816</v>
      </c>
      <c r="C925" t="s">
        <v>2382</v>
      </c>
      <c r="D925" t="s">
        <v>3021</v>
      </c>
      <c r="E925" t="s">
        <v>3022</v>
      </c>
      <c r="F925" t="s">
        <v>2113</v>
      </c>
      <c r="G925">
        <v>1</v>
      </c>
      <c r="H925">
        <v>1</v>
      </c>
      <c r="I925" t="s">
        <v>97</v>
      </c>
      <c r="J925" s="32">
        <v>119.95</v>
      </c>
      <c r="K925" s="32">
        <v>359.85</v>
      </c>
      <c r="L925">
        <v>0</v>
      </c>
      <c r="N925">
        <v>0</v>
      </c>
      <c r="Q925" t="s">
        <v>291</v>
      </c>
      <c r="R925" s="32">
        <v>239.95</v>
      </c>
      <c r="S925">
        <v>15</v>
      </c>
      <c r="T925">
        <v>52</v>
      </c>
      <c r="U925">
        <v>52</v>
      </c>
      <c r="W925">
        <v>17.989999999999998</v>
      </c>
      <c r="X925">
        <v>1</v>
      </c>
      <c r="Y925">
        <v>11.63</v>
      </c>
      <c r="Z925">
        <v>20.88</v>
      </c>
      <c r="AA925">
        <v>15.38</v>
      </c>
      <c r="AB925">
        <v>2.161</v>
      </c>
      <c r="AC925">
        <v>21.74</v>
      </c>
      <c r="AK925" t="s">
        <v>98</v>
      </c>
      <c r="AM925" t="s">
        <v>98</v>
      </c>
      <c r="AN925" t="s">
        <v>291</v>
      </c>
      <c r="AO925" t="s">
        <v>98</v>
      </c>
      <c r="AP925" t="s">
        <v>99</v>
      </c>
      <c r="AQ925" t="s">
        <v>102</v>
      </c>
      <c r="AV925" t="s">
        <v>98</v>
      </c>
      <c r="AX925" t="s">
        <v>179</v>
      </c>
      <c r="AZ925" t="s">
        <v>109</v>
      </c>
      <c r="BF925" t="s">
        <v>3026</v>
      </c>
      <c r="BG925" t="s">
        <v>98</v>
      </c>
      <c r="BH925" t="s">
        <v>98</v>
      </c>
      <c r="BI925" t="s">
        <v>98</v>
      </c>
      <c r="BK925" t="s">
        <v>138</v>
      </c>
      <c r="BU925">
        <v>6</v>
      </c>
      <c r="BW925">
        <v>0.75</v>
      </c>
      <c r="BX925" t="s">
        <v>2121</v>
      </c>
      <c r="BZ925" t="s">
        <v>179</v>
      </c>
      <c r="CA925" t="s">
        <v>3024</v>
      </c>
      <c r="CB925" t="s">
        <v>179</v>
      </c>
      <c r="CC925">
        <v>185</v>
      </c>
      <c r="CD925">
        <v>0.64</v>
      </c>
      <c r="CE925">
        <v>76.62</v>
      </c>
      <c r="CF925">
        <v>5741</v>
      </c>
      <c r="CL925" t="s">
        <v>98</v>
      </c>
      <c r="CM925" t="s">
        <v>291</v>
      </c>
      <c r="CN925" t="s">
        <v>2794</v>
      </c>
      <c r="CO925" s="1">
        <v>43277</v>
      </c>
      <c r="CP925" s="1">
        <v>43595</v>
      </c>
    </row>
    <row r="926" spans="1:94" x14ac:dyDescent="0.25">
      <c r="A926" s="4" t="s">
        <v>3027</v>
      </c>
      <c r="B926" t="str">
        <f xml:space="preserve"> "" &amp; 706411056499</f>
        <v>706411056499</v>
      </c>
      <c r="C926" t="s">
        <v>2382</v>
      </c>
      <c r="D926" t="s">
        <v>3021</v>
      </c>
      <c r="E926" t="s">
        <v>3022</v>
      </c>
      <c r="F926" t="s">
        <v>2113</v>
      </c>
      <c r="G926">
        <v>1</v>
      </c>
      <c r="H926">
        <v>1</v>
      </c>
      <c r="I926" t="s">
        <v>97</v>
      </c>
      <c r="J926" s="32">
        <v>119.95</v>
      </c>
      <c r="K926" s="32">
        <v>359.85</v>
      </c>
      <c r="L926">
        <v>0</v>
      </c>
      <c r="N926">
        <v>0</v>
      </c>
      <c r="Q926" t="s">
        <v>291</v>
      </c>
      <c r="R926" s="32">
        <v>239.95</v>
      </c>
      <c r="S926">
        <v>15</v>
      </c>
      <c r="T926">
        <v>52</v>
      </c>
      <c r="U926">
        <v>52</v>
      </c>
      <c r="W926">
        <v>17.989999999999998</v>
      </c>
      <c r="X926">
        <v>1</v>
      </c>
      <c r="Y926">
        <v>11.63</v>
      </c>
      <c r="Z926">
        <v>20.88</v>
      </c>
      <c r="AA926">
        <v>15.38</v>
      </c>
      <c r="AB926">
        <v>2.161</v>
      </c>
      <c r="AC926">
        <v>21.74</v>
      </c>
      <c r="AK926" t="s">
        <v>98</v>
      </c>
      <c r="AM926" t="s">
        <v>98</v>
      </c>
      <c r="AN926" t="s">
        <v>291</v>
      </c>
      <c r="AO926" t="s">
        <v>98</v>
      </c>
      <c r="AP926" t="s">
        <v>99</v>
      </c>
      <c r="AQ926" t="s">
        <v>102</v>
      </c>
      <c r="AV926" t="s">
        <v>98</v>
      </c>
      <c r="AX926" t="s">
        <v>209</v>
      </c>
      <c r="AZ926" t="s">
        <v>109</v>
      </c>
      <c r="BF926" t="s">
        <v>3028</v>
      </c>
      <c r="BG926" t="s">
        <v>98</v>
      </c>
      <c r="BH926" t="s">
        <v>98</v>
      </c>
      <c r="BI926" t="s">
        <v>98</v>
      </c>
      <c r="BK926" t="s">
        <v>138</v>
      </c>
      <c r="BU926">
        <v>6</v>
      </c>
      <c r="BW926">
        <v>0.75</v>
      </c>
      <c r="BX926" t="s">
        <v>2443</v>
      </c>
      <c r="BZ926" t="s">
        <v>2466</v>
      </c>
      <c r="CA926" t="s">
        <v>3024</v>
      </c>
      <c r="CB926" t="s">
        <v>209</v>
      </c>
      <c r="CC926">
        <v>185</v>
      </c>
      <c r="CD926">
        <v>0.64</v>
      </c>
      <c r="CE926">
        <v>76.62</v>
      </c>
      <c r="CF926">
        <v>5741</v>
      </c>
      <c r="CL926" t="s">
        <v>98</v>
      </c>
      <c r="CM926" t="s">
        <v>291</v>
      </c>
      <c r="CN926" t="s">
        <v>2794</v>
      </c>
      <c r="CO926" s="1">
        <v>42748</v>
      </c>
      <c r="CP926" s="1">
        <v>43595</v>
      </c>
    </row>
    <row r="927" spans="1:94" x14ac:dyDescent="0.25">
      <c r="A927" s="4" t="s">
        <v>3029</v>
      </c>
      <c r="B927" t="str">
        <f xml:space="preserve"> "" &amp; 706411042744</f>
        <v>706411042744</v>
      </c>
      <c r="C927" t="s">
        <v>2178</v>
      </c>
      <c r="D927" t="s">
        <v>3021</v>
      </c>
      <c r="E927" t="s">
        <v>3030</v>
      </c>
      <c r="F927" t="s">
        <v>2113</v>
      </c>
      <c r="G927">
        <v>1</v>
      </c>
      <c r="H927">
        <v>1</v>
      </c>
      <c r="I927" t="s">
        <v>97</v>
      </c>
      <c r="J927" s="32">
        <v>119.95</v>
      </c>
      <c r="K927" s="32">
        <v>359.85</v>
      </c>
      <c r="L927">
        <v>0</v>
      </c>
      <c r="N927">
        <v>0</v>
      </c>
      <c r="Q927" t="s">
        <v>291</v>
      </c>
      <c r="R927" s="32">
        <v>239.95</v>
      </c>
      <c r="S927">
        <v>15</v>
      </c>
      <c r="T927">
        <v>52</v>
      </c>
      <c r="U927">
        <v>52</v>
      </c>
      <c r="W927">
        <v>17.989999999999998</v>
      </c>
      <c r="X927">
        <v>1</v>
      </c>
      <c r="Y927">
        <v>11.63</v>
      </c>
      <c r="Z927">
        <v>20.87</v>
      </c>
      <c r="AA927">
        <v>15.38</v>
      </c>
      <c r="AB927">
        <v>2.16</v>
      </c>
      <c r="AC927">
        <v>21.74</v>
      </c>
      <c r="AK927" t="s">
        <v>98</v>
      </c>
      <c r="AM927" t="s">
        <v>98</v>
      </c>
      <c r="AN927" t="s">
        <v>291</v>
      </c>
      <c r="AO927" t="s">
        <v>98</v>
      </c>
      <c r="AP927" t="s">
        <v>99</v>
      </c>
      <c r="AQ927" t="s">
        <v>102</v>
      </c>
      <c r="AV927" t="s">
        <v>98</v>
      </c>
      <c r="AX927" t="s">
        <v>219</v>
      </c>
      <c r="AZ927" t="s">
        <v>109</v>
      </c>
      <c r="BC927" t="s">
        <v>485</v>
      </c>
      <c r="BF927" t="s">
        <v>3031</v>
      </c>
      <c r="BG927" t="s">
        <v>98</v>
      </c>
      <c r="BH927" t="s">
        <v>98</v>
      </c>
      <c r="BI927" t="s">
        <v>98</v>
      </c>
      <c r="BK927" t="s">
        <v>138</v>
      </c>
      <c r="BU927">
        <v>6</v>
      </c>
      <c r="BW927">
        <v>0.75</v>
      </c>
      <c r="BX927">
        <v>12</v>
      </c>
      <c r="BY927" t="s">
        <v>98</v>
      </c>
      <c r="BZ927" t="s">
        <v>3032</v>
      </c>
      <c r="CA927" t="s">
        <v>3024</v>
      </c>
      <c r="CB927" t="s">
        <v>219</v>
      </c>
      <c r="CC927">
        <v>185</v>
      </c>
      <c r="CD927">
        <v>0.64</v>
      </c>
      <c r="CE927">
        <v>76.62</v>
      </c>
      <c r="CF927">
        <v>5741</v>
      </c>
      <c r="CL927" t="s">
        <v>98</v>
      </c>
      <c r="CM927" t="s">
        <v>291</v>
      </c>
      <c r="CN927" t="s">
        <v>2578</v>
      </c>
      <c r="CO927" s="1">
        <v>41046</v>
      </c>
      <c r="CP927" s="1">
        <v>43595</v>
      </c>
    </row>
    <row r="928" spans="1:94" x14ac:dyDescent="0.25">
      <c r="A928" s="4" t="s">
        <v>3033</v>
      </c>
      <c r="B928" t="str">
        <f xml:space="preserve"> "" &amp; 706411042720</f>
        <v>706411042720</v>
      </c>
      <c r="C928" t="s">
        <v>2178</v>
      </c>
      <c r="D928" t="s">
        <v>3021</v>
      </c>
      <c r="E928" t="s">
        <v>3030</v>
      </c>
      <c r="F928" t="s">
        <v>2113</v>
      </c>
      <c r="G928">
        <v>1</v>
      </c>
      <c r="H928">
        <v>1</v>
      </c>
      <c r="I928" t="s">
        <v>97</v>
      </c>
      <c r="J928" s="32">
        <v>119.95</v>
      </c>
      <c r="K928" s="32">
        <v>359.85</v>
      </c>
      <c r="L928">
        <v>0</v>
      </c>
      <c r="N928">
        <v>0</v>
      </c>
      <c r="Q928" t="s">
        <v>291</v>
      </c>
      <c r="R928" s="32">
        <v>239.95</v>
      </c>
      <c r="S928">
        <v>15</v>
      </c>
      <c r="T928">
        <v>52</v>
      </c>
      <c r="U928">
        <v>52</v>
      </c>
      <c r="W928">
        <v>17.989999999999998</v>
      </c>
      <c r="X928">
        <v>1</v>
      </c>
      <c r="Y928">
        <v>11.63</v>
      </c>
      <c r="Z928">
        <v>20.87</v>
      </c>
      <c r="AA928">
        <v>15.38</v>
      </c>
      <c r="AB928">
        <v>2.16</v>
      </c>
      <c r="AC928">
        <v>21.74</v>
      </c>
      <c r="AK928" t="s">
        <v>98</v>
      </c>
      <c r="AM928" t="s">
        <v>98</v>
      </c>
      <c r="AN928" t="s">
        <v>291</v>
      </c>
      <c r="AO928" t="s">
        <v>98</v>
      </c>
      <c r="AP928" t="s">
        <v>99</v>
      </c>
      <c r="AQ928" t="s">
        <v>102</v>
      </c>
      <c r="AV928" t="s">
        <v>98</v>
      </c>
      <c r="AX928" t="s">
        <v>295</v>
      </c>
      <c r="AZ928" t="s">
        <v>109</v>
      </c>
      <c r="BF928" t="s">
        <v>3034</v>
      </c>
      <c r="BG928" t="s">
        <v>98</v>
      </c>
      <c r="BH928" t="s">
        <v>98</v>
      </c>
      <c r="BI928" t="s">
        <v>98</v>
      </c>
      <c r="BK928" t="s">
        <v>138</v>
      </c>
      <c r="BU928">
        <v>6</v>
      </c>
      <c r="BW928">
        <v>0.75</v>
      </c>
      <c r="BX928" t="s">
        <v>2121</v>
      </c>
      <c r="BY928" t="s">
        <v>98</v>
      </c>
      <c r="BZ928" t="s">
        <v>2987</v>
      </c>
      <c r="CA928" t="s">
        <v>3024</v>
      </c>
      <c r="CB928" t="s">
        <v>295</v>
      </c>
      <c r="CC928">
        <v>185</v>
      </c>
      <c r="CD928">
        <v>0.64</v>
      </c>
      <c r="CE928">
        <v>76.62</v>
      </c>
      <c r="CF928">
        <v>5741</v>
      </c>
      <c r="CL928" t="s">
        <v>98</v>
      </c>
      <c r="CM928" t="s">
        <v>291</v>
      </c>
      <c r="CN928" t="s">
        <v>2794</v>
      </c>
      <c r="CO928" s="1">
        <v>41295</v>
      </c>
      <c r="CP928" s="1">
        <v>43595</v>
      </c>
    </row>
    <row r="929" spans="1:94" x14ac:dyDescent="0.25">
      <c r="A929" s="4" t="s">
        <v>3035</v>
      </c>
      <c r="B929" t="str">
        <f xml:space="preserve"> "" &amp; 706411044137</f>
        <v>706411044137</v>
      </c>
      <c r="C929" t="s">
        <v>2178</v>
      </c>
      <c r="D929" t="s">
        <v>3021</v>
      </c>
      <c r="E929" t="s">
        <v>3030</v>
      </c>
      <c r="F929" t="s">
        <v>2113</v>
      </c>
      <c r="G929">
        <v>1</v>
      </c>
      <c r="H929">
        <v>1</v>
      </c>
      <c r="I929" t="s">
        <v>97</v>
      </c>
      <c r="J929" s="32">
        <v>119.95</v>
      </c>
      <c r="K929" s="32">
        <v>359.85</v>
      </c>
      <c r="L929">
        <v>0</v>
      </c>
      <c r="N929">
        <v>0</v>
      </c>
      <c r="Q929" t="s">
        <v>291</v>
      </c>
      <c r="R929" s="32">
        <v>239.95</v>
      </c>
      <c r="S929">
        <v>15</v>
      </c>
      <c r="T929">
        <v>52</v>
      </c>
      <c r="U929">
        <v>52</v>
      </c>
      <c r="W929">
        <v>17.989999999999998</v>
      </c>
      <c r="X929">
        <v>1</v>
      </c>
      <c r="Y929">
        <v>11.63</v>
      </c>
      <c r="Z929">
        <v>20.87</v>
      </c>
      <c r="AA929">
        <v>15.38</v>
      </c>
      <c r="AB929">
        <v>2.16</v>
      </c>
      <c r="AC929">
        <v>21.74</v>
      </c>
      <c r="AK929" t="s">
        <v>98</v>
      </c>
      <c r="AM929" t="s">
        <v>98</v>
      </c>
      <c r="AN929" t="s">
        <v>291</v>
      </c>
      <c r="AO929" t="s">
        <v>98</v>
      </c>
      <c r="AP929" t="s">
        <v>99</v>
      </c>
      <c r="AQ929" t="s">
        <v>102</v>
      </c>
      <c r="AV929" t="s">
        <v>98</v>
      </c>
      <c r="AX929" t="s">
        <v>302</v>
      </c>
      <c r="AZ929" t="s">
        <v>109</v>
      </c>
      <c r="BC929" t="s">
        <v>485</v>
      </c>
      <c r="BF929" t="s">
        <v>3036</v>
      </c>
      <c r="BG929" t="s">
        <v>98</v>
      </c>
      <c r="BH929" t="s">
        <v>98</v>
      </c>
      <c r="BI929" t="s">
        <v>98</v>
      </c>
      <c r="BK929" t="s">
        <v>138</v>
      </c>
      <c r="BU929">
        <v>6</v>
      </c>
      <c r="BW929">
        <v>0.75</v>
      </c>
      <c r="BX929">
        <v>12</v>
      </c>
      <c r="BY929" t="s">
        <v>98</v>
      </c>
      <c r="BZ929" t="s">
        <v>302</v>
      </c>
      <c r="CA929" t="s">
        <v>3024</v>
      </c>
      <c r="CB929" t="s">
        <v>302</v>
      </c>
      <c r="CC929">
        <v>185</v>
      </c>
      <c r="CD929">
        <v>0.64</v>
      </c>
      <c r="CE929">
        <v>76.62</v>
      </c>
      <c r="CF929">
        <v>5741</v>
      </c>
      <c r="CL929" t="s">
        <v>98</v>
      </c>
      <c r="CM929" t="s">
        <v>291</v>
      </c>
      <c r="CN929" t="s">
        <v>2578</v>
      </c>
      <c r="CO929" s="1">
        <v>41239</v>
      </c>
      <c r="CP929" s="1">
        <v>43595</v>
      </c>
    </row>
    <row r="930" spans="1:94" x14ac:dyDescent="0.25">
      <c r="A930" s="4" t="s">
        <v>3037</v>
      </c>
      <c r="B930" t="str">
        <f xml:space="preserve"> "" &amp; 706411056482</f>
        <v>706411056482</v>
      </c>
      <c r="C930" t="s">
        <v>2418</v>
      </c>
      <c r="D930" t="s">
        <v>3038</v>
      </c>
      <c r="E930" t="s">
        <v>3039</v>
      </c>
      <c r="F930" t="s">
        <v>2113</v>
      </c>
      <c r="G930">
        <v>1</v>
      </c>
      <c r="H930">
        <v>1</v>
      </c>
      <c r="I930" t="s">
        <v>97</v>
      </c>
      <c r="J930" s="32">
        <v>169.95</v>
      </c>
      <c r="K930" s="32">
        <v>509.85</v>
      </c>
      <c r="L930">
        <v>0</v>
      </c>
      <c r="N930">
        <v>0</v>
      </c>
      <c r="Q930" t="s">
        <v>291</v>
      </c>
      <c r="R930" s="32">
        <v>339.95</v>
      </c>
      <c r="S930">
        <v>15</v>
      </c>
      <c r="T930">
        <v>60</v>
      </c>
      <c r="U930">
        <v>60</v>
      </c>
      <c r="W930">
        <v>22.62</v>
      </c>
      <c r="X930">
        <v>1</v>
      </c>
      <c r="Y930">
        <v>11.38</v>
      </c>
      <c r="Z930">
        <v>24.88</v>
      </c>
      <c r="AA930">
        <v>15.63</v>
      </c>
      <c r="AB930">
        <v>2.5609999999999999</v>
      </c>
      <c r="AC930">
        <v>26.57</v>
      </c>
      <c r="AK930" t="s">
        <v>98</v>
      </c>
      <c r="AM930" t="s">
        <v>98</v>
      </c>
      <c r="AN930" t="s">
        <v>291</v>
      </c>
      <c r="AO930" t="s">
        <v>98</v>
      </c>
      <c r="AP930" t="s">
        <v>99</v>
      </c>
      <c r="AQ930" t="s">
        <v>102</v>
      </c>
      <c r="AV930" t="s">
        <v>98</v>
      </c>
      <c r="AX930" t="s">
        <v>150</v>
      </c>
      <c r="AZ930" t="s">
        <v>535</v>
      </c>
      <c r="BF930" t="s">
        <v>3040</v>
      </c>
      <c r="BG930" t="s">
        <v>98</v>
      </c>
      <c r="BH930" t="s">
        <v>98</v>
      </c>
      <c r="BI930" t="s">
        <v>98</v>
      </c>
      <c r="BK930" t="s">
        <v>138</v>
      </c>
      <c r="BU930">
        <v>6</v>
      </c>
      <c r="BW930">
        <v>0.75</v>
      </c>
      <c r="BX930" t="s">
        <v>2443</v>
      </c>
      <c r="BY930" t="s">
        <v>98</v>
      </c>
      <c r="BZ930" t="s">
        <v>2463</v>
      </c>
      <c r="CA930" t="s">
        <v>3041</v>
      </c>
      <c r="CB930" t="s">
        <v>150</v>
      </c>
      <c r="CC930">
        <v>153</v>
      </c>
      <c r="CD930">
        <v>0.71</v>
      </c>
      <c r="CE930">
        <v>84.46</v>
      </c>
      <c r="CF930">
        <v>6417</v>
      </c>
      <c r="CL930" t="s">
        <v>98</v>
      </c>
      <c r="CM930" t="s">
        <v>291</v>
      </c>
      <c r="CN930" t="s">
        <v>2794</v>
      </c>
      <c r="CO930" s="1">
        <v>42754</v>
      </c>
      <c r="CP930" s="1">
        <v>43595</v>
      </c>
    </row>
    <row r="931" spans="1:94" x14ac:dyDescent="0.25">
      <c r="A931" s="4" t="s">
        <v>3042</v>
      </c>
      <c r="B931" t="str">
        <f xml:space="preserve"> "" &amp; 706411042768</f>
        <v>706411042768</v>
      </c>
      <c r="C931" t="s">
        <v>2178</v>
      </c>
      <c r="D931" t="s">
        <v>3038</v>
      </c>
      <c r="E931" t="s">
        <v>3039</v>
      </c>
      <c r="F931" t="s">
        <v>2113</v>
      </c>
      <c r="G931">
        <v>1</v>
      </c>
      <c r="H931">
        <v>1</v>
      </c>
      <c r="I931" t="s">
        <v>97</v>
      </c>
      <c r="J931" s="32">
        <v>169.95</v>
      </c>
      <c r="K931" s="32">
        <v>509.85</v>
      </c>
      <c r="L931">
        <v>0</v>
      </c>
      <c r="N931">
        <v>0</v>
      </c>
      <c r="Q931" t="s">
        <v>291</v>
      </c>
      <c r="R931" s="32">
        <v>339.95</v>
      </c>
      <c r="S931">
        <v>15</v>
      </c>
      <c r="T931">
        <v>60</v>
      </c>
      <c r="U931">
        <v>60</v>
      </c>
      <c r="W931">
        <v>22.62</v>
      </c>
      <c r="X931">
        <v>1</v>
      </c>
      <c r="Y931">
        <v>11.38</v>
      </c>
      <c r="Z931">
        <v>24.88</v>
      </c>
      <c r="AA931">
        <v>15.63</v>
      </c>
      <c r="AB931">
        <v>2.5609999999999999</v>
      </c>
      <c r="AC931">
        <v>26.57</v>
      </c>
      <c r="AK931" t="s">
        <v>98</v>
      </c>
      <c r="AM931" t="s">
        <v>98</v>
      </c>
      <c r="AN931" t="s">
        <v>291</v>
      </c>
      <c r="AO931" t="s">
        <v>98</v>
      </c>
      <c r="AP931" t="s">
        <v>99</v>
      </c>
      <c r="AQ931" t="s">
        <v>102</v>
      </c>
      <c r="AV931" t="s">
        <v>98</v>
      </c>
      <c r="AX931" t="s">
        <v>171</v>
      </c>
      <c r="AZ931" t="s">
        <v>2118</v>
      </c>
      <c r="BC931" t="s">
        <v>485</v>
      </c>
      <c r="BF931" t="s">
        <v>3043</v>
      </c>
      <c r="BG931" t="s">
        <v>98</v>
      </c>
      <c r="BH931" t="s">
        <v>98</v>
      </c>
      <c r="BI931" t="s">
        <v>98</v>
      </c>
      <c r="BK931" t="s">
        <v>138</v>
      </c>
      <c r="BU931">
        <v>6</v>
      </c>
      <c r="BW931">
        <v>0.75</v>
      </c>
      <c r="BX931">
        <v>12</v>
      </c>
      <c r="BY931" t="s">
        <v>98</v>
      </c>
      <c r="BZ931" t="s">
        <v>3044</v>
      </c>
      <c r="CA931" t="s">
        <v>3041</v>
      </c>
      <c r="CB931" t="s">
        <v>171</v>
      </c>
      <c r="CC931">
        <v>153</v>
      </c>
      <c r="CD931">
        <v>0.71</v>
      </c>
      <c r="CE931">
        <v>84.46</v>
      </c>
      <c r="CF931">
        <v>6417</v>
      </c>
      <c r="CL931" t="s">
        <v>98</v>
      </c>
      <c r="CM931" t="s">
        <v>291</v>
      </c>
      <c r="CN931" t="s">
        <v>2794</v>
      </c>
      <c r="CO931" s="1">
        <v>41046</v>
      </c>
      <c r="CP931" s="1">
        <v>43595</v>
      </c>
    </row>
    <row r="932" spans="1:94" x14ac:dyDescent="0.25">
      <c r="A932" s="4" t="s">
        <v>3045</v>
      </c>
      <c r="B932" t="str">
        <f xml:space="preserve"> "" &amp; 706411060809</f>
        <v>706411060809</v>
      </c>
      <c r="C932" t="s">
        <v>2418</v>
      </c>
      <c r="D932" t="s">
        <v>3038</v>
      </c>
      <c r="E932" t="s">
        <v>3046</v>
      </c>
      <c r="F932" t="s">
        <v>2113</v>
      </c>
      <c r="G932">
        <v>1</v>
      </c>
      <c r="H932">
        <v>1</v>
      </c>
      <c r="I932" t="s">
        <v>97</v>
      </c>
      <c r="J932" s="32">
        <v>169.95</v>
      </c>
      <c r="K932" s="32">
        <v>509.85</v>
      </c>
      <c r="L932">
        <v>0</v>
      </c>
      <c r="N932">
        <v>0</v>
      </c>
      <c r="Q932" t="s">
        <v>291</v>
      </c>
      <c r="R932" s="32">
        <v>339.95</v>
      </c>
      <c r="S932">
        <v>15</v>
      </c>
      <c r="T932">
        <v>60</v>
      </c>
      <c r="U932">
        <v>60</v>
      </c>
      <c r="W932">
        <v>22.62</v>
      </c>
      <c r="X932">
        <v>1</v>
      </c>
      <c r="Y932">
        <v>11.38</v>
      </c>
      <c r="Z932">
        <v>24.88</v>
      </c>
      <c r="AA932">
        <v>15.63</v>
      </c>
      <c r="AB932">
        <v>2.5609999999999999</v>
      </c>
      <c r="AC932">
        <v>26.57</v>
      </c>
      <c r="AK932" t="s">
        <v>98</v>
      </c>
      <c r="AM932" t="s">
        <v>98</v>
      </c>
      <c r="AN932" t="s">
        <v>291</v>
      </c>
      <c r="AO932" t="s">
        <v>98</v>
      </c>
      <c r="AP932" t="s">
        <v>99</v>
      </c>
      <c r="AQ932" t="s">
        <v>102</v>
      </c>
      <c r="AV932" t="s">
        <v>98</v>
      </c>
      <c r="AX932" t="s">
        <v>179</v>
      </c>
      <c r="AZ932" t="s">
        <v>535</v>
      </c>
      <c r="BF932" t="s">
        <v>3047</v>
      </c>
      <c r="BG932" t="s">
        <v>98</v>
      </c>
      <c r="BH932" t="s">
        <v>98</v>
      </c>
      <c r="BI932" t="s">
        <v>98</v>
      </c>
      <c r="BK932" t="s">
        <v>138</v>
      </c>
      <c r="BU932">
        <v>6</v>
      </c>
      <c r="BW932">
        <v>0.75</v>
      </c>
      <c r="BX932" t="s">
        <v>2121</v>
      </c>
      <c r="BZ932" t="s">
        <v>179</v>
      </c>
      <c r="CA932" t="s">
        <v>3041</v>
      </c>
      <c r="CB932" t="s">
        <v>179</v>
      </c>
      <c r="CC932">
        <v>153</v>
      </c>
      <c r="CD932">
        <v>0.71</v>
      </c>
      <c r="CE932">
        <v>84.46</v>
      </c>
      <c r="CF932">
        <v>6417</v>
      </c>
      <c r="CL932" t="s">
        <v>98</v>
      </c>
      <c r="CM932" t="s">
        <v>291</v>
      </c>
      <c r="CN932" t="s">
        <v>2794</v>
      </c>
      <c r="CO932" s="1">
        <v>43277</v>
      </c>
      <c r="CP932" s="1">
        <v>43595</v>
      </c>
    </row>
    <row r="933" spans="1:94" x14ac:dyDescent="0.25">
      <c r="A933" s="4" t="s">
        <v>3048</v>
      </c>
      <c r="B933" t="str">
        <f xml:space="preserve"> "" &amp; 706411056475</f>
        <v>706411056475</v>
      </c>
      <c r="C933" t="s">
        <v>2418</v>
      </c>
      <c r="D933" t="s">
        <v>3038</v>
      </c>
      <c r="E933" t="s">
        <v>3039</v>
      </c>
      <c r="F933" t="s">
        <v>2113</v>
      </c>
      <c r="G933">
        <v>1</v>
      </c>
      <c r="H933">
        <v>1</v>
      </c>
      <c r="I933" t="s">
        <v>97</v>
      </c>
      <c r="J933" s="32">
        <v>169.95</v>
      </c>
      <c r="K933" s="32">
        <v>509.85</v>
      </c>
      <c r="L933">
        <v>0</v>
      </c>
      <c r="N933">
        <v>0</v>
      </c>
      <c r="Q933" t="s">
        <v>291</v>
      </c>
      <c r="R933" s="32">
        <v>339.95</v>
      </c>
      <c r="S933">
        <v>15</v>
      </c>
      <c r="T933">
        <v>60</v>
      </c>
      <c r="U933">
        <v>60</v>
      </c>
      <c r="W933">
        <v>22.62</v>
      </c>
      <c r="X933">
        <v>1</v>
      </c>
      <c r="Y933">
        <v>11.38</v>
      </c>
      <c r="Z933">
        <v>24.88</v>
      </c>
      <c r="AA933">
        <v>15.63</v>
      </c>
      <c r="AB933">
        <v>2.5609999999999999</v>
      </c>
      <c r="AC933">
        <v>26.57</v>
      </c>
      <c r="AK933" t="s">
        <v>98</v>
      </c>
      <c r="AM933" t="s">
        <v>98</v>
      </c>
      <c r="AN933" t="s">
        <v>291</v>
      </c>
      <c r="AO933" t="s">
        <v>98</v>
      </c>
      <c r="AP933" t="s">
        <v>99</v>
      </c>
      <c r="AQ933" t="s">
        <v>102</v>
      </c>
      <c r="AV933" t="s">
        <v>98</v>
      </c>
      <c r="AX933" t="s">
        <v>209</v>
      </c>
      <c r="AZ933" t="s">
        <v>535</v>
      </c>
      <c r="BF933" t="s">
        <v>3049</v>
      </c>
      <c r="BG933" t="s">
        <v>98</v>
      </c>
      <c r="BH933" t="s">
        <v>98</v>
      </c>
      <c r="BI933" t="s">
        <v>98</v>
      </c>
      <c r="BK933" t="s">
        <v>138</v>
      </c>
      <c r="BU933">
        <v>6</v>
      </c>
      <c r="BW933">
        <v>0.75</v>
      </c>
      <c r="BX933" t="s">
        <v>2443</v>
      </c>
      <c r="BZ933" t="s">
        <v>2466</v>
      </c>
      <c r="CA933" t="s">
        <v>3041</v>
      </c>
      <c r="CB933" t="s">
        <v>209</v>
      </c>
      <c r="CC933">
        <v>153</v>
      </c>
      <c r="CD933">
        <v>0.71</v>
      </c>
      <c r="CE933">
        <v>84.46</v>
      </c>
      <c r="CF933">
        <v>6417</v>
      </c>
      <c r="CL933" t="s">
        <v>98</v>
      </c>
      <c r="CM933" t="s">
        <v>291</v>
      </c>
      <c r="CN933" t="s">
        <v>2794</v>
      </c>
      <c r="CO933" s="1">
        <v>42754</v>
      </c>
      <c r="CP933" s="1">
        <v>43595</v>
      </c>
    </row>
    <row r="934" spans="1:94" x14ac:dyDescent="0.25">
      <c r="A934" s="4" t="s">
        <v>3050</v>
      </c>
      <c r="B934" t="str">
        <f xml:space="preserve"> "" &amp; 706411042775</f>
        <v>706411042775</v>
      </c>
      <c r="C934" t="s">
        <v>2418</v>
      </c>
      <c r="D934" t="s">
        <v>3038</v>
      </c>
      <c r="E934" t="s">
        <v>3046</v>
      </c>
      <c r="F934" t="s">
        <v>2113</v>
      </c>
      <c r="G934">
        <v>1</v>
      </c>
      <c r="H934">
        <v>1</v>
      </c>
      <c r="I934" t="s">
        <v>97</v>
      </c>
      <c r="J934" s="32">
        <v>169.95</v>
      </c>
      <c r="K934" s="32">
        <v>509.85</v>
      </c>
      <c r="L934">
        <v>0</v>
      </c>
      <c r="N934">
        <v>0</v>
      </c>
      <c r="Q934" t="s">
        <v>291</v>
      </c>
      <c r="R934" s="32">
        <v>339.95</v>
      </c>
      <c r="S934">
        <v>15</v>
      </c>
      <c r="T934">
        <v>60</v>
      </c>
      <c r="U934">
        <v>60</v>
      </c>
      <c r="W934">
        <v>22.62</v>
      </c>
      <c r="X934">
        <v>1</v>
      </c>
      <c r="Y934">
        <v>11.38</v>
      </c>
      <c r="Z934">
        <v>24.88</v>
      </c>
      <c r="AA934">
        <v>15.63</v>
      </c>
      <c r="AB934">
        <v>2.5609999999999999</v>
      </c>
      <c r="AC934">
        <v>26.57</v>
      </c>
      <c r="AK934" t="s">
        <v>98</v>
      </c>
      <c r="AM934" t="s">
        <v>98</v>
      </c>
      <c r="AN934" t="s">
        <v>291</v>
      </c>
      <c r="AO934" t="s">
        <v>98</v>
      </c>
      <c r="AP934" t="s">
        <v>99</v>
      </c>
      <c r="AQ934" t="s">
        <v>102</v>
      </c>
      <c r="AV934" t="s">
        <v>98</v>
      </c>
      <c r="AX934" t="s">
        <v>219</v>
      </c>
      <c r="AZ934" t="s">
        <v>2118</v>
      </c>
      <c r="BC934" t="s">
        <v>485</v>
      </c>
      <c r="BF934" t="s">
        <v>3051</v>
      </c>
      <c r="BG934" t="s">
        <v>98</v>
      </c>
      <c r="BH934" t="s">
        <v>98</v>
      </c>
      <c r="BI934" t="s">
        <v>98</v>
      </c>
      <c r="BK934" t="s">
        <v>138</v>
      </c>
      <c r="BU934">
        <v>6</v>
      </c>
      <c r="BW934">
        <v>0.75</v>
      </c>
      <c r="BX934" t="s">
        <v>2121</v>
      </c>
      <c r="BY934" t="s">
        <v>98</v>
      </c>
      <c r="BZ934" t="s">
        <v>3004</v>
      </c>
      <c r="CA934" t="s">
        <v>3041</v>
      </c>
      <c r="CB934" t="s">
        <v>219</v>
      </c>
      <c r="CC934">
        <v>153</v>
      </c>
      <c r="CD934">
        <v>0.71</v>
      </c>
      <c r="CE934">
        <v>84.46</v>
      </c>
      <c r="CF934">
        <v>6417</v>
      </c>
      <c r="CL934" t="s">
        <v>98</v>
      </c>
      <c r="CM934" t="s">
        <v>291</v>
      </c>
      <c r="CN934" t="s">
        <v>2794</v>
      </c>
      <c r="CO934" s="1">
        <v>41046</v>
      </c>
      <c r="CP934" s="1">
        <v>43595</v>
      </c>
    </row>
    <row r="935" spans="1:94" x14ac:dyDescent="0.25">
      <c r="A935" s="4" t="s">
        <v>3052</v>
      </c>
      <c r="B935" t="str">
        <f xml:space="preserve"> "" &amp; 706411042751</f>
        <v>706411042751</v>
      </c>
      <c r="C935" t="s">
        <v>2178</v>
      </c>
      <c r="D935" t="s">
        <v>3038</v>
      </c>
      <c r="E935" t="s">
        <v>3039</v>
      </c>
      <c r="F935" t="s">
        <v>2113</v>
      </c>
      <c r="G935">
        <v>1</v>
      </c>
      <c r="H935">
        <v>1</v>
      </c>
      <c r="I935" t="s">
        <v>97</v>
      </c>
      <c r="J935" s="32">
        <v>169.95</v>
      </c>
      <c r="K935" s="32">
        <v>509.85</v>
      </c>
      <c r="L935">
        <v>0</v>
      </c>
      <c r="N935">
        <v>0</v>
      </c>
      <c r="Q935" t="s">
        <v>291</v>
      </c>
      <c r="R935" s="32">
        <v>339.95</v>
      </c>
      <c r="S935">
        <v>15</v>
      </c>
      <c r="T935">
        <v>60</v>
      </c>
      <c r="U935">
        <v>60</v>
      </c>
      <c r="W935">
        <v>22.62</v>
      </c>
      <c r="X935">
        <v>1</v>
      </c>
      <c r="Y935">
        <v>11.38</v>
      </c>
      <c r="Z935">
        <v>24.88</v>
      </c>
      <c r="AA935">
        <v>15.63</v>
      </c>
      <c r="AB935">
        <v>2.5609999999999999</v>
      </c>
      <c r="AC935">
        <v>26.57</v>
      </c>
      <c r="AK935" t="s">
        <v>98</v>
      </c>
      <c r="AM935" t="s">
        <v>98</v>
      </c>
      <c r="AN935" t="s">
        <v>291</v>
      </c>
      <c r="AO935" t="s">
        <v>98</v>
      </c>
      <c r="AP935" t="s">
        <v>99</v>
      </c>
      <c r="AQ935" t="s">
        <v>102</v>
      </c>
      <c r="AV935" t="s">
        <v>98</v>
      </c>
      <c r="AX935" t="s">
        <v>295</v>
      </c>
      <c r="AZ935" t="s">
        <v>2118</v>
      </c>
      <c r="BC935" t="s">
        <v>485</v>
      </c>
      <c r="BF935" t="s">
        <v>3053</v>
      </c>
      <c r="BG935" t="s">
        <v>98</v>
      </c>
      <c r="BH935" t="s">
        <v>98</v>
      </c>
      <c r="BI935" t="s">
        <v>98</v>
      </c>
      <c r="BK935" t="s">
        <v>138</v>
      </c>
      <c r="BU935">
        <v>6</v>
      </c>
      <c r="BW935">
        <v>0.75</v>
      </c>
      <c r="BX935">
        <v>12</v>
      </c>
      <c r="BY935" t="s">
        <v>98</v>
      </c>
      <c r="BZ935" t="s">
        <v>2987</v>
      </c>
      <c r="CA935" t="s">
        <v>3041</v>
      </c>
      <c r="CB935" t="s">
        <v>295</v>
      </c>
      <c r="CC935">
        <v>153</v>
      </c>
      <c r="CD935">
        <v>0.71</v>
      </c>
      <c r="CE935">
        <v>84.46</v>
      </c>
      <c r="CF935">
        <v>6417</v>
      </c>
      <c r="CL935" t="s">
        <v>98</v>
      </c>
      <c r="CM935" t="s">
        <v>291</v>
      </c>
      <c r="CN935" t="s">
        <v>2794</v>
      </c>
      <c r="CO935" s="1">
        <v>41046</v>
      </c>
      <c r="CP935" s="1">
        <v>43595</v>
      </c>
    </row>
    <row r="936" spans="1:94" x14ac:dyDescent="0.25">
      <c r="A936" s="4" t="s">
        <v>3054</v>
      </c>
      <c r="B936" t="str">
        <f xml:space="preserve"> "" &amp; 706411044144</f>
        <v>706411044144</v>
      </c>
      <c r="C936" t="s">
        <v>2418</v>
      </c>
      <c r="D936" t="s">
        <v>3038</v>
      </c>
      <c r="E936" t="s">
        <v>3039</v>
      </c>
      <c r="F936" t="s">
        <v>2113</v>
      </c>
      <c r="G936">
        <v>1</v>
      </c>
      <c r="H936">
        <v>1</v>
      </c>
      <c r="I936" t="s">
        <v>97</v>
      </c>
      <c r="J936" s="32">
        <v>169.95</v>
      </c>
      <c r="K936" s="32">
        <v>509.85</v>
      </c>
      <c r="L936">
        <v>0</v>
      </c>
      <c r="N936">
        <v>0</v>
      </c>
      <c r="Q936" t="s">
        <v>291</v>
      </c>
      <c r="R936" s="32">
        <v>339.95</v>
      </c>
      <c r="S936">
        <v>15</v>
      </c>
      <c r="T936">
        <v>60</v>
      </c>
      <c r="U936">
        <v>60</v>
      </c>
      <c r="W936">
        <v>22.62</v>
      </c>
      <c r="X936">
        <v>1</v>
      </c>
      <c r="Y936">
        <v>11.38</v>
      </c>
      <c r="Z936">
        <v>24.88</v>
      </c>
      <c r="AA936">
        <v>15.63</v>
      </c>
      <c r="AB936">
        <v>2.5609999999999999</v>
      </c>
      <c r="AC936">
        <v>26.57</v>
      </c>
      <c r="AK936" t="s">
        <v>98</v>
      </c>
      <c r="AM936" t="s">
        <v>98</v>
      </c>
      <c r="AN936" t="s">
        <v>291</v>
      </c>
      <c r="AO936" t="s">
        <v>98</v>
      </c>
      <c r="AP936" t="s">
        <v>99</v>
      </c>
      <c r="AQ936" t="s">
        <v>102</v>
      </c>
      <c r="AV936" t="s">
        <v>98</v>
      </c>
      <c r="AX936" t="s">
        <v>302</v>
      </c>
      <c r="AZ936" t="s">
        <v>2118</v>
      </c>
      <c r="BC936" t="s">
        <v>485</v>
      </c>
      <c r="BF936" t="s">
        <v>3055</v>
      </c>
      <c r="BG936" t="s">
        <v>98</v>
      </c>
      <c r="BH936" t="s">
        <v>98</v>
      </c>
      <c r="BI936" t="s">
        <v>98</v>
      </c>
      <c r="BK936" t="s">
        <v>138</v>
      </c>
      <c r="BU936">
        <v>6</v>
      </c>
      <c r="BW936">
        <v>0.75</v>
      </c>
      <c r="BX936">
        <v>12</v>
      </c>
      <c r="BY936" t="s">
        <v>98</v>
      </c>
      <c r="BZ936" t="s">
        <v>302</v>
      </c>
      <c r="CA936" t="s">
        <v>3041</v>
      </c>
      <c r="CB936" t="s">
        <v>302</v>
      </c>
      <c r="CC936">
        <v>153</v>
      </c>
      <c r="CD936">
        <v>0.71</v>
      </c>
      <c r="CE936">
        <v>84.46</v>
      </c>
      <c r="CF936">
        <v>6417</v>
      </c>
      <c r="CL936" t="s">
        <v>98</v>
      </c>
      <c r="CM936" t="s">
        <v>291</v>
      </c>
      <c r="CN936" t="s">
        <v>2794</v>
      </c>
      <c r="CO936" s="1">
        <v>41239</v>
      </c>
      <c r="CP936" s="1">
        <v>43595</v>
      </c>
    </row>
    <row r="937" spans="1:94" x14ac:dyDescent="0.25">
      <c r="A937" s="4" t="s">
        <v>3056</v>
      </c>
      <c r="B937" t="str">
        <f xml:space="preserve"> "" &amp; 706411029783</f>
        <v>706411029783</v>
      </c>
      <c r="C937" t="s">
        <v>2178</v>
      </c>
      <c r="D937" t="s">
        <v>3057</v>
      </c>
      <c r="E937" t="s">
        <v>3058</v>
      </c>
      <c r="F937" t="s">
        <v>2113</v>
      </c>
      <c r="G937">
        <v>1</v>
      </c>
      <c r="H937">
        <v>1</v>
      </c>
      <c r="I937" t="s">
        <v>97</v>
      </c>
      <c r="J937" s="32">
        <v>229.95</v>
      </c>
      <c r="K937" s="32">
        <v>689.85</v>
      </c>
      <c r="L937">
        <v>0</v>
      </c>
      <c r="N937">
        <v>0</v>
      </c>
      <c r="Q937" t="s">
        <v>291</v>
      </c>
      <c r="R937" s="32">
        <v>399.95</v>
      </c>
      <c r="S937">
        <v>15.5</v>
      </c>
      <c r="T937">
        <v>52</v>
      </c>
      <c r="U937">
        <v>52</v>
      </c>
      <c r="W937">
        <v>27.56</v>
      </c>
      <c r="X937">
        <v>1</v>
      </c>
      <c r="Y937">
        <v>12.38</v>
      </c>
      <c r="Z937">
        <v>25.5</v>
      </c>
      <c r="AA937">
        <v>15</v>
      </c>
      <c r="AB937">
        <v>2.74</v>
      </c>
      <c r="AC937">
        <v>29.15</v>
      </c>
      <c r="AE937">
        <v>2</v>
      </c>
      <c r="AF937" t="s">
        <v>2598</v>
      </c>
      <c r="AG937">
        <v>50</v>
      </c>
      <c r="AH937">
        <v>6</v>
      </c>
      <c r="AI937" t="s">
        <v>2883</v>
      </c>
      <c r="AJ937">
        <v>15</v>
      </c>
      <c r="AK937" t="s">
        <v>291</v>
      </c>
      <c r="AM937" t="s">
        <v>98</v>
      </c>
      <c r="AN937" t="s">
        <v>98</v>
      </c>
      <c r="AO937" t="s">
        <v>291</v>
      </c>
      <c r="AP937" t="s">
        <v>99</v>
      </c>
      <c r="AQ937" t="s">
        <v>102</v>
      </c>
      <c r="AV937" t="s">
        <v>98</v>
      </c>
      <c r="AX937" t="s">
        <v>193</v>
      </c>
      <c r="AZ937" t="s">
        <v>2118</v>
      </c>
      <c r="BB937" t="s">
        <v>54</v>
      </c>
      <c r="BC937" t="s">
        <v>3059</v>
      </c>
      <c r="BF937" t="s">
        <v>3060</v>
      </c>
      <c r="BG937" t="s">
        <v>98</v>
      </c>
      <c r="BH937" t="s">
        <v>98</v>
      </c>
      <c r="BI937" t="s">
        <v>98</v>
      </c>
      <c r="BK937" t="s">
        <v>138</v>
      </c>
      <c r="BU937">
        <v>6</v>
      </c>
      <c r="BW937">
        <v>0.75</v>
      </c>
      <c r="BX937" t="s">
        <v>2218</v>
      </c>
      <c r="BY937" t="s">
        <v>291</v>
      </c>
      <c r="BZ937" t="s">
        <v>2456</v>
      </c>
      <c r="CA937" t="s">
        <v>3061</v>
      </c>
      <c r="CB937" t="s">
        <v>193</v>
      </c>
      <c r="CC937">
        <v>160</v>
      </c>
      <c r="CD937">
        <v>0.59</v>
      </c>
      <c r="CE937">
        <v>72</v>
      </c>
      <c r="CF937">
        <v>5278.32</v>
      </c>
      <c r="CG937">
        <v>3</v>
      </c>
      <c r="CL937" t="s">
        <v>291</v>
      </c>
      <c r="CM937" t="s">
        <v>98</v>
      </c>
      <c r="CO937" s="1">
        <v>38084</v>
      </c>
      <c r="CP937" s="1">
        <v>43595</v>
      </c>
    </row>
    <row r="938" spans="1:94" x14ac:dyDescent="0.25">
      <c r="A938" s="4" t="s">
        <v>3062</v>
      </c>
      <c r="B938" t="str">
        <f xml:space="preserve"> "" &amp; 706411050022</f>
        <v>706411050022</v>
      </c>
      <c r="C938" t="s">
        <v>2178</v>
      </c>
      <c r="D938" t="s">
        <v>3057</v>
      </c>
      <c r="E938" t="s">
        <v>3058</v>
      </c>
      <c r="F938" t="s">
        <v>2113</v>
      </c>
      <c r="G938">
        <v>1</v>
      </c>
      <c r="H938">
        <v>1</v>
      </c>
      <c r="I938" t="s">
        <v>97</v>
      </c>
      <c r="J938" s="32">
        <v>229.95</v>
      </c>
      <c r="K938" s="32">
        <v>689.85</v>
      </c>
      <c r="L938">
        <v>0</v>
      </c>
      <c r="N938">
        <v>0</v>
      </c>
      <c r="Q938" t="s">
        <v>291</v>
      </c>
      <c r="R938" s="32">
        <v>399.95</v>
      </c>
      <c r="S938">
        <v>15.5</v>
      </c>
      <c r="T938">
        <v>52</v>
      </c>
      <c r="U938">
        <v>52</v>
      </c>
      <c r="W938">
        <v>27.56</v>
      </c>
      <c r="X938">
        <v>1</v>
      </c>
      <c r="Y938">
        <v>12.38</v>
      </c>
      <c r="Z938">
        <v>25.5</v>
      </c>
      <c r="AA938">
        <v>15</v>
      </c>
      <c r="AB938">
        <v>2.74</v>
      </c>
      <c r="AC938">
        <v>29.15</v>
      </c>
      <c r="AE938">
        <v>2</v>
      </c>
      <c r="AF938" t="s">
        <v>3063</v>
      </c>
      <c r="AG938">
        <v>50</v>
      </c>
      <c r="AH938">
        <v>6</v>
      </c>
      <c r="AI938" t="s">
        <v>3064</v>
      </c>
      <c r="AJ938">
        <v>15</v>
      </c>
      <c r="AK938" t="s">
        <v>291</v>
      </c>
      <c r="AM938" t="s">
        <v>98</v>
      </c>
      <c r="AN938" t="s">
        <v>98</v>
      </c>
      <c r="AO938" t="s">
        <v>98</v>
      </c>
      <c r="AP938" t="s">
        <v>99</v>
      </c>
      <c r="AQ938" t="s">
        <v>102</v>
      </c>
      <c r="AV938" t="s">
        <v>98</v>
      </c>
      <c r="AX938" t="s">
        <v>197</v>
      </c>
      <c r="AZ938" t="s">
        <v>2118</v>
      </c>
      <c r="BB938" t="s">
        <v>54</v>
      </c>
      <c r="BC938" t="s">
        <v>3065</v>
      </c>
      <c r="BF938" t="s">
        <v>3066</v>
      </c>
      <c r="BG938" t="s">
        <v>98</v>
      </c>
      <c r="BH938" t="s">
        <v>98</v>
      </c>
      <c r="BI938" t="s">
        <v>98</v>
      </c>
      <c r="BK938" t="s">
        <v>138</v>
      </c>
      <c r="BU938">
        <v>6</v>
      </c>
      <c r="BW938">
        <v>0.75</v>
      </c>
      <c r="BY938" t="s">
        <v>291</v>
      </c>
      <c r="BZ938" t="s">
        <v>2413</v>
      </c>
      <c r="CA938" t="s">
        <v>3061</v>
      </c>
      <c r="CB938" t="s">
        <v>197</v>
      </c>
      <c r="CC938">
        <v>160</v>
      </c>
      <c r="CD938">
        <v>0.59</v>
      </c>
      <c r="CE938">
        <v>72</v>
      </c>
      <c r="CF938">
        <v>5278.32</v>
      </c>
      <c r="CL938" t="s">
        <v>291</v>
      </c>
      <c r="CM938" t="s">
        <v>98</v>
      </c>
      <c r="CO938" s="1">
        <v>41716</v>
      </c>
      <c r="CP938" s="1">
        <v>43595</v>
      </c>
    </row>
    <row r="939" spans="1:94" x14ac:dyDescent="0.25">
      <c r="A939" s="4" t="s">
        <v>3067</v>
      </c>
      <c r="B939" t="str">
        <f xml:space="preserve"> "" &amp; 706411042799</f>
        <v>706411042799</v>
      </c>
      <c r="C939" t="s">
        <v>2178</v>
      </c>
      <c r="D939" t="s">
        <v>3057</v>
      </c>
      <c r="E939" t="s">
        <v>3058</v>
      </c>
      <c r="F939" t="s">
        <v>2113</v>
      </c>
      <c r="G939">
        <v>1</v>
      </c>
      <c r="H939">
        <v>1</v>
      </c>
      <c r="I939" t="s">
        <v>97</v>
      </c>
      <c r="J939" s="32">
        <v>229.95</v>
      </c>
      <c r="K939" s="32">
        <v>689.85</v>
      </c>
      <c r="L939">
        <v>0</v>
      </c>
      <c r="N939">
        <v>0</v>
      </c>
      <c r="Q939" t="s">
        <v>291</v>
      </c>
      <c r="R939" s="32">
        <v>399.95</v>
      </c>
      <c r="S939">
        <v>15.5</v>
      </c>
      <c r="T939">
        <v>52</v>
      </c>
      <c r="U939">
        <v>52</v>
      </c>
      <c r="W939">
        <v>27.56</v>
      </c>
      <c r="X939">
        <v>1</v>
      </c>
      <c r="Y939">
        <v>12.38</v>
      </c>
      <c r="Z939">
        <v>25.5</v>
      </c>
      <c r="AA939">
        <v>15</v>
      </c>
      <c r="AB939">
        <v>2.74</v>
      </c>
      <c r="AC939">
        <v>29.15</v>
      </c>
      <c r="AE939">
        <v>2</v>
      </c>
      <c r="AF939" t="s">
        <v>3068</v>
      </c>
      <c r="AG939">
        <v>50</v>
      </c>
      <c r="AH939">
        <v>6</v>
      </c>
      <c r="AI939" t="s">
        <v>3069</v>
      </c>
      <c r="AJ939">
        <v>15</v>
      </c>
      <c r="AK939" t="s">
        <v>291</v>
      </c>
      <c r="AM939" t="s">
        <v>98</v>
      </c>
      <c r="AN939" t="s">
        <v>98</v>
      </c>
      <c r="AO939" t="s">
        <v>291</v>
      </c>
      <c r="AP939" t="s">
        <v>99</v>
      </c>
      <c r="AQ939" t="s">
        <v>102</v>
      </c>
      <c r="AV939" t="s">
        <v>98</v>
      </c>
      <c r="AX939" t="s">
        <v>219</v>
      </c>
      <c r="AZ939" t="s">
        <v>2118</v>
      </c>
      <c r="BB939" t="s">
        <v>106</v>
      </c>
      <c r="BC939" t="s">
        <v>3070</v>
      </c>
      <c r="BF939" t="s">
        <v>3071</v>
      </c>
      <c r="BG939" t="s">
        <v>98</v>
      </c>
      <c r="BH939" t="s">
        <v>98</v>
      </c>
      <c r="BI939" t="s">
        <v>98</v>
      </c>
      <c r="BK939" t="s">
        <v>138</v>
      </c>
      <c r="BU939">
        <v>6</v>
      </c>
      <c r="BW939">
        <v>0.75</v>
      </c>
      <c r="BX939">
        <v>14</v>
      </c>
      <c r="BY939" t="s">
        <v>291</v>
      </c>
      <c r="BZ939" t="s">
        <v>3072</v>
      </c>
      <c r="CA939" t="s">
        <v>3061</v>
      </c>
      <c r="CB939" t="s">
        <v>219</v>
      </c>
      <c r="CC939">
        <v>160</v>
      </c>
      <c r="CD939">
        <v>0.59</v>
      </c>
      <c r="CE939">
        <v>72</v>
      </c>
      <c r="CF939">
        <v>5278.32</v>
      </c>
      <c r="CL939" t="s">
        <v>291</v>
      </c>
      <c r="CM939" t="s">
        <v>98</v>
      </c>
      <c r="CO939" s="1">
        <v>40960</v>
      </c>
      <c r="CP939" s="1">
        <v>43595</v>
      </c>
    </row>
    <row r="940" spans="1:94" x14ac:dyDescent="0.25">
      <c r="A940" s="4" t="s">
        <v>3073</v>
      </c>
      <c r="B940" t="str">
        <f xml:space="preserve"> "" &amp; 706411044199</f>
        <v>706411044199</v>
      </c>
      <c r="C940" t="s">
        <v>2178</v>
      </c>
      <c r="D940" t="s">
        <v>3057</v>
      </c>
      <c r="E940" t="s">
        <v>3058</v>
      </c>
      <c r="F940" t="s">
        <v>2113</v>
      </c>
      <c r="G940">
        <v>1</v>
      </c>
      <c r="H940">
        <v>1</v>
      </c>
      <c r="I940" t="s">
        <v>97</v>
      </c>
      <c r="J940" s="32">
        <v>229.95</v>
      </c>
      <c r="K940" s="32">
        <v>689.85</v>
      </c>
      <c r="L940">
        <v>0</v>
      </c>
      <c r="N940">
        <v>0</v>
      </c>
      <c r="Q940" t="s">
        <v>291</v>
      </c>
      <c r="R940" s="32">
        <v>399.95</v>
      </c>
      <c r="S940">
        <v>15.5</v>
      </c>
      <c r="T940">
        <v>52</v>
      </c>
      <c r="U940">
        <v>52</v>
      </c>
      <c r="W940">
        <v>27.56</v>
      </c>
      <c r="X940">
        <v>1</v>
      </c>
      <c r="Y940">
        <v>12.38</v>
      </c>
      <c r="Z940">
        <v>25.5</v>
      </c>
      <c r="AA940">
        <v>15</v>
      </c>
      <c r="AB940">
        <v>2.74</v>
      </c>
      <c r="AC940">
        <v>29.15</v>
      </c>
      <c r="AE940">
        <v>2</v>
      </c>
      <c r="AF940" t="s">
        <v>3074</v>
      </c>
      <c r="AG940">
        <v>50</v>
      </c>
      <c r="AH940">
        <v>6</v>
      </c>
      <c r="AI940" t="s">
        <v>2495</v>
      </c>
      <c r="AJ940">
        <v>15</v>
      </c>
      <c r="AK940" t="s">
        <v>291</v>
      </c>
      <c r="AM940" t="s">
        <v>98</v>
      </c>
      <c r="AN940" t="s">
        <v>98</v>
      </c>
      <c r="AO940" t="s">
        <v>291</v>
      </c>
      <c r="AP940" t="s">
        <v>99</v>
      </c>
      <c r="AQ940" t="s">
        <v>102</v>
      </c>
      <c r="AV940" t="s">
        <v>98</v>
      </c>
      <c r="AX940" t="s">
        <v>257</v>
      </c>
      <c r="AZ940" t="s">
        <v>2118</v>
      </c>
      <c r="BB940" t="s">
        <v>106</v>
      </c>
      <c r="BC940" t="s">
        <v>2355</v>
      </c>
      <c r="BF940" t="s">
        <v>3075</v>
      </c>
      <c r="BG940" t="s">
        <v>98</v>
      </c>
      <c r="BH940" t="s">
        <v>98</v>
      </c>
      <c r="BI940" t="s">
        <v>98</v>
      </c>
      <c r="BK940" t="s">
        <v>138</v>
      </c>
      <c r="BU940">
        <v>6</v>
      </c>
      <c r="BW940">
        <v>0.75</v>
      </c>
      <c r="BX940">
        <v>14</v>
      </c>
      <c r="BY940" t="s">
        <v>291</v>
      </c>
      <c r="BZ940" t="s">
        <v>441</v>
      </c>
      <c r="CA940" t="s">
        <v>3061</v>
      </c>
      <c r="CB940" t="s">
        <v>257</v>
      </c>
      <c r="CC940">
        <v>160</v>
      </c>
      <c r="CD940">
        <v>0.59</v>
      </c>
      <c r="CE940">
        <v>72</v>
      </c>
      <c r="CF940">
        <v>5278.32</v>
      </c>
      <c r="CL940" t="s">
        <v>291</v>
      </c>
      <c r="CM940" t="s">
        <v>98</v>
      </c>
      <c r="CO940" s="1">
        <v>41248</v>
      </c>
      <c r="CP940" s="1">
        <v>43595</v>
      </c>
    </row>
    <row r="941" spans="1:94" x14ac:dyDescent="0.25">
      <c r="A941" s="4" t="s">
        <v>3076</v>
      </c>
      <c r="B941" t="str">
        <f xml:space="preserve"> "" &amp; 706411008597</f>
        <v>706411008597</v>
      </c>
      <c r="C941" t="s">
        <v>2178</v>
      </c>
      <c r="D941" t="s">
        <v>3057</v>
      </c>
      <c r="E941" t="s">
        <v>3058</v>
      </c>
      <c r="F941" t="s">
        <v>2113</v>
      </c>
      <c r="G941">
        <v>1</v>
      </c>
      <c r="H941">
        <v>1</v>
      </c>
      <c r="I941" t="s">
        <v>97</v>
      </c>
      <c r="J941" s="32">
        <v>229.95</v>
      </c>
      <c r="K941" s="32">
        <v>689.85</v>
      </c>
      <c r="L941">
        <v>0</v>
      </c>
      <c r="N941">
        <v>0</v>
      </c>
      <c r="Q941" t="s">
        <v>291</v>
      </c>
      <c r="R941" s="32">
        <v>399.95</v>
      </c>
      <c r="S941">
        <v>15.5</v>
      </c>
      <c r="T941">
        <v>52</v>
      </c>
      <c r="U941">
        <v>52</v>
      </c>
      <c r="W941">
        <v>27.56</v>
      </c>
      <c r="X941">
        <v>1</v>
      </c>
      <c r="Y941">
        <v>12.38</v>
      </c>
      <c r="Z941">
        <v>25.5</v>
      </c>
      <c r="AA941">
        <v>15</v>
      </c>
      <c r="AB941">
        <v>2.74</v>
      </c>
      <c r="AC941">
        <v>29.15</v>
      </c>
      <c r="AE941">
        <v>2</v>
      </c>
      <c r="AF941" t="s">
        <v>2598</v>
      </c>
      <c r="AG941">
        <v>50</v>
      </c>
      <c r="AH941">
        <v>6</v>
      </c>
      <c r="AI941" t="s">
        <v>2883</v>
      </c>
      <c r="AJ941">
        <v>15</v>
      </c>
      <c r="AK941" t="s">
        <v>291</v>
      </c>
      <c r="AM941" t="s">
        <v>98</v>
      </c>
      <c r="AN941" t="s">
        <v>98</v>
      </c>
      <c r="AO941" t="s">
        <v>291</v>
      </c>
      <c r="AP941" t="s">
        <v>99</v>
      </c>
      <c r="AQ941" t="s">
        <v>102</v>
      </c>
      <c r="AV941" t="s">
        <v>98</v>
      </c>
      <c r="AX941" t="s">
        <v>261</v>
      </c>
      <c r="AZ941" t="s">
        <v>2118</v>
      </c>
      <c r="BB941" t="s">
        <v>54</v>
      </c>
      <c r="BC941" t="s">
        <v>3077</v>
      </c>
      <c r="BF941" t="s">
        <v>3078</v>
      </c>
      <c r="BG941" t="s">
        <v>98</v>
      </c>
      <c r="BH941" t="s">
        <v>98</v>
      </c>
      <c r="BI941" t="s">
        <v>98</v>
      </c>
      <c r="BK941" t="s">
        <v>138</v>
      </c>
      <c r="BU941">
        <v>6</v>
      </c>
      <c r="BW941">
        <v>0.75</v>
      </c>
      <c r="BX941" t="s">
        <v>2218</v>
      </c>
      <c r="BY941" t="s">
        <v>291</v>
      </c>
      <c r="BZ941" t="s">
        <v>3079</v>
      </c>
      <c r="CA941" t="s">
        <v>3061</v>
      </c>
      <c r="CB941" t="s">
        <v>261</v>
      </c>
      <c r="CC941">
        <v>160</v>
      </c>
      <c r="CD941">
        <v>0.57999999999999996</v>
      </c>
      <c r="CE941">
        <v>70</v>
      </c>
      <c r="CF941">
        <v>5600</v>
      </c>
      <c r="CL941" t="s">
        <v>291</v>
      </c>
      <c r="CM941" t="s">
        <v>98</v>
      </c>
      <c r="CO941" s="1">
        <v>38084</v>
      </c>
      <c r="CP941" s="1">
        <v>43595</v>
      </c>
    </row>
    <row r="942" spans="1:94" x14ac:dyDescent="0.25">
      <c r="A942" s="4" t="s">
        <v>3080</v>
      </c>
      <c r="B942" t="str">
        <f xml:space="preserve"> "" &amp; 706411018596</f>
        <v>706411018596</v>
      </c>
      <c r="C942" t="s">
        <v>2178</v>
      </c>
      <c r="D942" t="s">
        <v>4509</v>
      </c>
      <c r="E942" t="str">
        <f xml:space="preserve"> "VOLTERRA" &amp;  CHAR(153) &amp; ""</f>
        <v>VOLTERRA™</v>
      </c>
      <c r="F942" t="s">
        <v>2113</v>
      </c>
      <c r="G942">
        <v>1</v>
      </c>
      <c r="H942">
        <v>1</v>
      </c>
      <c r="I942" t="s">
        <v>97</v>
      </c>
      <c r="J942" s="32">
        <v>225.95</v>
      </c>
      <c r="K942" s="32">
        <v>677.85</v>
      </c>
      <c r="L942">
        <v>0</v>
      </c>
      <c r="N942">
        <v>0</v>
      </c>
      <c r="Q942" t="s">
        <v>291</v>
      </c>
      <c r="R942" s="32">
        <v>399.95</v>
      </c>
      <c r="S942">
        <v>15.25</v>
      </c>
      <c r="T942">
        <v>52</v>
      </c>
      <c r="U942">
        <v>52</v>
      </c>
      <c r="W942">
        <v>28.24</v>
      </c>
      <c r="X942">
        <v>1</v>
      </c>
      <c r="Y942">
        <v>12.38</v>
      </c>
      <c r="Z942">
        <v>25.5</v>
      </c>
      <c r="AA942">
        <v>15</v>
      </c>
      <c r="AB942">
        <v>2.74</v>
      </c>
      <c r="AC942">
        <v>31.42</v>
      </c>
      <c r="AE942">
        <v>2</v>
      </c>
      <c r="AF942" t="s">
        <v>3081</v>
      </c>
      <c r="AG942">
        <v>50</v>
      </c>
      <c r="AK942" t="s">
        <v>291</v>
      </c>
      <c r="AM942" t="s">
        <v>98</v>
      </c>
      <c r="AN942" t="s">
        <v>98</v>
      </c>
      <c r="AO942" t="s">
        <v>291</v>
      </c>
      <c r="AP942" t="s">
        <v>99</v>
      </c>
      <c r="AQ942" t="s">
        <v>102</v>
      </c>
      <c r="AV942" t="s">
        <v>98</v>
      </c>
      <c r="AX942" t="s">
        <v>136</v>
      </c>
      <c r="AZ942" t="s">
        <v>2235</v>
      </c>
      <c r="BB942" t="s">
        <v>54</v>
      </c>
      <c r="BC942" t="s">
        <v>2496</v>
      </c>
      <c r="BF942" t="s">
        <v>3082</v>
      </c>
      <c r="BG942" t="s">
        <v>98</v>
      </c>
      <c r="BH942" t="s">
        <v>98</v>
      </c>
      <c r="BI942" t="s">
        <v>98</v>
      </c>
      <c r="BK942" t="s">
        <v>138</v>
      </c>
      <c r="BU942">
        <v>6</v>
      </c>
      <c r="BW942">
        <v>0.75</v>
      </c>
      <c r="BX942" t="s">
        <v>2218</v>
      </c>
      <c r="BY942" t="s">
        <v>291</v>
      </c>
      <c r="BZ942" t="s">
        <v>2456</v>
      </c>
      <c r="CA942" t="s">
        <v>3083</v>
      </c>
      <c r="CB942" t="s">
        <v>136</v>
      </c>
      <c r="CC942">
        <v>172</v>
      </c>
      <c r="CD942">
        <v>0.56000000000000005</v>
      </c>
      <c r="CE942">
        <v>67</v>
      </c>
      <c r="CF942">
        <v>5600</v>
      </c>
      <c r="CL942" t="s">
        <v>291</v>
      </c>
      <c r="CM942" t="s">
        <v>98</v>
      </c>
      <c r="CN942" t="s">
        <v>2272</v>
      </c>
      <c r="CO942" s="1">
        <v>37243</v>
      </c>
      <c r="CP942" s="1">
        <v>43595</v>
      </c>
    </row>
    <row r="943" spans="1:94" x14ac:dyDescent="0.25">
      <c r="A943" s="4" t="s">
        <v>3084</v>
      </c>
      <c r="B943" t="str">
        <f xml:space="preserve"> "" &amp; 706411009037</f>
        <v>706411009037</v>
      </c>
      <c r="C943" t="s">
        <v>2178</v>
      </c>
      <c r="D943" t="s">
        <v>4509</v>
      </c>
      <c r="E943" t="str">
        <f xml:space="preserve"> "VOLTERRA" &amp;  CHAR(153) &amp; ""</f>
        <v>VOLTERRA™</v>
      </c>
      <c r="F943" t="s">
        <v>2113</v>
      </c>
      <c r="G943">
        <v>1</v>
      </c>
      <c r="H943">
        <v>1</v>
      </c>
      <c r="I943" t="s">
        <v>97</v>
      </c>
      <c r="J943" s="32">
        <v>225.95</v>
      </c>
      <c r="K943" s="32">
        <v>677.85</v>
      </c>
      <c r="L943">
        <v>0</v>
      </c>
      <c r="N943">
        <v>0</v>
      </c>
      <c r="Q943" t="s">
        <v>291</v>
      </c>
      <c r="R943" s="32">
        <v>399.95</v>
      </c>
      <c r="S943">
        <v>15.25</v>
      </c>
      <c r="T943">
        <v>52</v>
      </c>
      <c r="U943">
        <v>52</v>
      </c>
      <c r="W943">
        <v>28.24</v>
      </c>
      <c r="X943">
        <v>1</v>
      </c>
      <c r="Y943">
        <v>12.38</v>
      </c>
      <c r="Z943">
        <v>25.5</v>
      </c>
      <c r="AA943">
        <v>15</v>
      </c>
      <c r="AB943">
        <v>2.74</v>
      </c>
      <c r="AC943">
        <v>31.42</v>
      </c>
      <c r="AE943">
        <v>2</v>
      </c>
      <c r="AF943" t="s">
        <v>3081</v>
      </c>
      <c r="AG943">
        <v>50</v>
      </c>
      <c r="AK943" t="s">
        <v>291</v>
      </c>
      <c r="AM943" t="s">
        <v>98</v>
      </c>
      <c r="AN943" t="s">
        <v>98</v>
      </c>
      <c r="AO943" t="s">
        <v>291</v>
      </c>
      <c r="AP943" t="s">
        <v>99</v>
      </c>
      <c r="AQ943" t="s">
        <v>102</v>
      </c>
      <c r="AV943" t="s">
        <v>98</v>
      </c>
      <c r="AX943" t="s">
        <v>458</v>
      </c>
      <c r="AZ943" t="s">
        <v>2235</v>
      </c>
      <c r="BB943" t="s">
        <v>54</v>
      </c>
      <c r="BC943" t="s">
        <v>3085</v>
      </c>
      <c r="BF943" t="s">
        <v>3086</v>
      </c>
      <c r="BG943" t="s">
        <v>98</v>
      </c>
      <c r="BH943" t="s">
        <v>98</v>
      </c>
      <c r="BI943" t="s">
        <v>98</v>
      </c>
      <c r="BK943" t="s">
        <v>138</v>
      </c>
      <c r="BU943">
        <v>6</v>
      </c>
      <c r="BW943">
        <v>0.75</v>
      </c>
      <c r="BX943" t="s">
        <v>2218</v>
      </c>
      <c r="BY943" t="s">
        <v>291</v>
      </c>
      <c r="BZ943" t="s">
        <v>2456</v>
      </c>
      <c r="CA943" t="s">
        <v>3083</v>
      </c>
      <c r="CB943" t="s">
        <v>458</v>
      </c>
      <c r="CC943">
        <v>159</v>
      </c>
      <c r="CD943">
        <v>0.55000000000000004</v>
      </c>
      <c r="CE943">
        <v>67</v>
      </c>
      <c r="CF943">
        <v>5424.95</v>
      </c>
      <c r="CL943" t="s">
        <v>291</v>
      </c>
      <c r="CM943" t="s">
        <v>98</v>
      </c>
      <c r="CN943" t="s">
        <v>2272</v>
      </c>
      <c r="CO943" s="1">
        <v>37243</v>
      </c>
      <c r="CP943" s="1">
        <v>43595</v>
      </c>
    </row>
    <row r="944" spans="1:94" x14ac:dyDescent="0.25">
      <c r="A944" s="4" t="s">
        <v>3087</v>
      </c>
      <c r="B944" t="str">
        <f xml:space="preserve"> "" &amp; 706411018473</f>
        <v>706411018473</v>
      </c>
      <c r="C944" t="s">
        <v>2931</v>
      </c>
      <c r="D944" t="s">
        <v>4493</v>
      </c>
      <c r="E944" t="str">
        <f xml:space="preserve"> "NAPOLI" &amp;  CHAR(153) &amp; " 56"""</f>
        <v>NAPOLI™ 56"</v>
      </c>
      <c r="F944" t="s">
        <v>2113</v>
      </c>
      <c r="G944">
        <v>1</v>
      </c>
      <c r="H944">
        <v>1</v>
      </c>
      <c r="I944" t="s">
        <v>97</v>
      </c>
      <c r="J944" s="32">
        <v>249.95</v>
      </c>
      <c r="K944" s="32">
        <v>749.85</v>
      </c>
      <c r="L944">
        <v>0</v>
      </c>
      <c r="N944">
        <v>0</v>
      </c>
      <c r="Q944" t="s">
        <v>291</v>
      </c>
      <c r="R944" s="32">
        <v>459.95</v>
      </c>
      <c r="S944">
        <v>25</v>
      </c>
      <c r="T944">
        <v>56</v>
      </c>
      <c r="U944">
        <v>56</v>
      </c>
      <c r="W944">
        <v>40.450000000000003</v>
      </c>
      <c r="X944">
        <v>1</v>
      </c>
      <c r="Y944">
        <v>15.35</v>
      </c>
      <c r="Z944">
        <v>32.68</v>
      </c>
      <c r="AA944">
        <v>19.489999999999998</v>
      </c>
      <c r="AB944">
        <v>5.6580000000000004</v>
      </c>
      <c r="AC944">
        <v>48.06</v>
      </c>
      <c r="AE944">
        <v>2</v>
      </c>
      <c r="AF944" t="s">
        <v>2598</v>
      </c>
      <c r="AG944">
        <v>50</v>
      </c>
      <c r="AK944" t="s">
        <v>291</v>
      </c>
      <c r="AM944" t="s">
        <v>98</v>
      </c>
      <c r="AN944" t="s">
        <v>98</v>
      </c>
      <c r="AO944" t="s">
        <v>291</v>
      </c>
      <c r="AP944" t="s">
        <v>99</v>
      </c>
      <c r="AQ944" t="s">
        <v>102</v>
      </c>
      <c r="AV944" t="s">
        <v>98</v>
      </c>
      <c r="AX944" t="s">
        <v>541</v>
      </c>
      <c r="AZ944" t="s">
        <v>2235</v>
      </c>
      <c r="BB944" t="s">
        <v>54</v>
      </c>
      <c r="BC944" t="s">
        <v>2496</v>
      </c>
      <c r="BF944" t="s">
        <v>3088</v>
      </c>
      <c r="BG944" t="s">
        <v>98</v>
      </c>
      <c r="BH944" t="s">
        <v>98</v>
      </c>
      <c r="BI944" t="s">
        <v>98</v>
      </c>
      <c r="BK944" t="s">
        <v>138</v>
      </c>
      <c r="BU944">
        <v>12</v>
      </c>
      <c r="BW944">
        <v>0.75</v>
      </c>
      <c r="BX944" t="s">
        <v>2218</v>
      </c>
      <c r="BY944" t="s">
        <v>291</v>
      </c>
      <c r="BZ944" t="s">
        <v>541</v>
      </c>
      <c r="CA944" t="s">
        <v>3089</v>
      </c>
      <c r="CB944" t="s">
        <v>541</v>
      </c>
      <c r="CC944">
        <v>132</v>
      </c>
      <c r="CD944">
        <v>0.68700000000000006</v>
      </c>
      <c r="CE944">
        <v>82.76</v>
      </c>
      <c r="CF944">
        <v>5608.74</v>
      </c>
      <c r="CL944" t="s">
        <v>291</v>
      </c>
      <c r="CM944" t="s">
        <v>291</v>
      </c>
      <c r="CO944" s="1">
        <v>37844</v>
      </c>
      <c r="CP944" s="1">
        <v>43595</v>
      </c>
    </row>
    <row r="945" spans="1:94" x14ac:dyDescent="0.25">
      <c r="A945" s="4" t="s">
        <v>3090</v>
      </c>
      <c r="B945" t="str">
        <f xml:space="preserve"> "" &amp; 706411034619</f>
        <v>706411034619</v>
      </c>
      <c r="C945" t="s">
        <v>2421</v>
      </c>
      <c r="D945" t="s">
        <v>3091</v>
      </c>
      <c r="E945" t="s">
        <v>3092</v>
      </c>
      <c r="F945" t="s">
        <v>2113</v>
      </c>
      <c r="G945">
        <v>1</v>
      </c>
      <c r="H945">
        <v>1</v>
      </c>
      <c r="I945" t="s">
        <v>97</v>
      </c>
      <c r="J945" s="32">
        <v>194.95</v>
      </c>
      <c r="K945" s="32">
        <v>584.85</v>
      </c>
      <c r="L945">
        <v>0</v>
      </c>
      <c r="N945">
        <v>0</v>
      </c>
      <c r="Q945" t="s">
        <v>291</v>
      </c>
      <c r="R945" s="32">
        <v>349.95</v>
      </c>
      <c r="S945">
        <v>11</v>
      </c>
      <c r="T945">
        <v>52</v>
      </c>
      <c r="U945">
        <v>52</v>
      </c>
      <c r="W945">
        <v>24.8</v>
      </c>
      <c r="X945">
        <v>1</v>
      </c>
      <c r="Y945">
        <v>10.25</v>
      </c>
      <c r="Z945">
        <v>27.5</v>
      </c>
      <c r="AA945">
        <v>16</v>
      </c>
      <c r="AB945">
        <v>2.61</v>
      </c>
      <c r="AC945">
        <v>28.42</v>
      </c>
      <c r="AE945">
        <v>2</v>
      </c>
      <c r="AF945" t="s">
        <v>2598</v>
      </c>
      <c r="AG945">
        <v>50</v>
      </c>
      <c r="AK945" t="s">
        <v>291</v>
      </c>
      <c r="AM945" t="s">
        <v>98</v>
      </c>
      <c r="AN945" t="s">
        <v>98</v>
      </c>
      <c r="AO945" t="s">
        <v>291</v>
      </c>
      <c r="AP945" t="s">
        <v>99</v>
      </c>
      <c r="AQ945" t="s">
        <v>102</v>
      </c>
      <c r="AV945" t="s">
        <v>98</v>
      </c>
      <c r="AX945" t="s">
        <v>193</v>
      </c>
      <c r="AZ945" t="s">
        <v>2118</v>
      </c>
      <c r="BB945" t="s">
        <v>54</v>
      </c>
      <c r="BC945" t="s">
        <v>3059</v>
      </c>
      <c r="BF945" t="s">
        <v>3093</v>
      </c>
      <c r="BG945" t="s">
        <v>98</v>
      </c>
      <c r="BH945" t="s">
        <v>98</v>
      </c>
      <c r="BI945" t="s">
        <v>98</v>
      </c>
      <c r="BK945" t="s">
        <v>138</v>
      </c>
      <c r="BX945" t="s">
        <v>2218</v>
      </c>
      <c r="BY945" t="s">
        <v>291</v>
      </c>
      <c r="BZ945" t="s">
        <v>2456</v>
      </c>
      <c r="CA945" t="s">
        <v>3094</v>
      </c>
      <c r="CB945" t="s">
        <v>193</v>
      </c>
      <c r="CC945">
        <v>154</v>
      </c>
      <c r="CD945">
        <v>0.60199999999999998</v>
      </c>
      <c r="CE945">
        <v>72</v>
      </c>
      <c r="CF945">
        <v>3772</v>
      </c>
      <c r="CL945" t="s">
        <v>291</v>
      </c>
      <c r="CM945" t="s">
        <v>98</v>
      </c>
      <c r="CN945" t="s">
        <v>3095</v>
      </c>
      <c r="CO945" s="1">
        <v>39604</v>
      </c>
      <c r="CP945" s="1">
        <v>43595</v>
      </c>
    </row>
    <row r="946" spans="1:94" x14ac:dyDescent="0.25">
      <c r="A946" s="4" t="s">
        <v>3096</v>
      </c>
      <c r="B946" t="str">
        <f xml:space="preserve"> "" &amp; 706411044182</f>
        <v>706411044182</v>
      </c>
      <c r="C946" t="s">
        <v>2421</v>
      </c>
      <c r="D946" t="s">
        <v>3091</v>
      </c>
      <c r="E946" t="s">
        <v>3092</v>
      </c>
      <c r="F946" t="s">
        <v>2113</v>
      </c>
      <c r="G946">
        <v>1</v>
      </c>
      <c r="H946">
        <v>1</v>
      </c>
      <c r="I946" t="s">
        <v>97</v>
      </c>
      <c r="J946" s="32">
        <v>194.95</v>
      </c>
      <c r="K946" s="32">
        <v>584.85</v>
      </c>
      <c r="L946">
        <v>0</v>
      </c>
      <c r="N946">
        <v>0</v>
      </c>
      <c r="Q946" t="s">
        <v>291</v>
      </c>
      <c r="R946" s="32">
        <v>349.95</v>
      </c>
      <c r="S946">
        <v>11</v>
      </c>
      <c r="T946">
        <v>52</v>
      </c>
      <c r="U946">
        <v>52</v>
      </c>
      <c r="W946">
        <v>24.8</v>
      </c>
      <c r="X946">
        <v>1</v>
      </c>
      <c r="Y946">
        <v>10.25</v>
      </c>
      <c r="Z946">
        <v>27.5</v>
      </c>
      <c r="AA946">
        <v>16</v>
      </c>
      <c r="AB946">
        <v>2.61</v>
      </c>
      <c r="AC946">
        <v>28.42</v>
      </c>
      <c r="AE946">
        <v>2</v>
      </c>
      <c r="AF946" t="s">
        <v>3081</v>
      </c>
      <c r="AG946">
        <v>50</v>
      </c>
      <c r="AK946" t="s">
        <v>291</v>
      </c>
      <c r="AM946" t="s">
        <v>98</v>
      </c>
      <c r="AN946" t="s">
        <v>98</v>
      </c>
      <c r="AO946" t="s">
        <v>291</v>
      </c>
      <c r="AP946" t="s">
        <v>99</v>
      </c>
      <c r="AQ946" t="s">
        <v>102</v>
      </c>
      <c r="AV946" t="s">
        <v>98</v>
      </c>
      <c r="AX946" t="s">
        <v>257</v>
      </c>
      <c r="AZ946" t="s">
        <v>2118</v>
      </c>
      <c r="BB946" t="s">
        <v>106</v>
      </c>
      <c r="BC946" t="s">
        <v>2355</v>
      </c>
      <c r="BF946" t="s">
        <v>3097</v>
      </c>
      <c r="BG946" t="s">
        <v>98</v>
      </c>
      <c r="BH946" t="s">
        <v>98</v>
      </c>
      <c r="BI946" t="s">
        <v>98</v>
      </c>
      <c r="BK946" t="s">
        <v>138</v>
      </c>
      <c r="BX946" t="s">
        <v>2218</v>
      </c>
      <c r="BY946" t="s">
        <v>291</v>
      </c>
      <c r="BZ946" t="s">
        <v>441</v>
      </c>
      <c r="CA946" t="s">
        <v>3094</v>
      </c>
      <c r="CB946" t="s">
        <v>257</v>
      </c>
      <c r="CC946">
        <v>154</v>
      </c>
      <c r="CD946">
        <v>0.60199999999999998</v>
      </c>
      <c r="CE946">
        <v>72</v>
      </c>
      <c r="CF946">
        <v>3772</v>
      </c>
      <c r="CL946" t="s">
        <v>291</v>
      </c>
      <c r="CM946" t="s">
        <v>98</v>
      </c>
      <c r="CN946" t="s">
        <v>3095</v>
      </c>
      <c r="CO946" s="1">
        <v>41248</v>
      </c>
      <c r="CP946" s="1">
        <v>43595</v>
      </c>
    </row>
    <row r="947" spans="1:94" x14ac:dyDescent="0.25">
      <c r="A947" s="4" t="s">
        <v>3098</v>
      </c>
      <c r="B947" t="str">
        <f xml:space="preserve"> "" &amp; 706411034626</f>
        <v>706411034626</v>
      </c>
      <c r="C947" t="s">
        <v>2421</v>
      </c>
      <c r="D947" t="s">
        <v>3091</v>
      </c>
      <c r="E947" t="s">
        <v>3092</v>
      </c>
      <c r="F947" t="s">
        <v>2113</v>
      </c>
      <c r="G947">
        <v>1</v>
      </c>
      <c r="H947">
        <v>1</v>
      </c>
      <c r="I947" t="s">
        <v>97</v>
      </c>
      <c r="J947" s="32">
        <v>194.95</v>
      </c>
      <c r="K947" s="32">
        <v>584.85</v>
      </c>
      <c r="L947">
        <v>0</v>
      </c>
      <c r="N947">
        <v>0</v>
      </c>
      <c r="Q947" t="s">
        <v>291</v>
      </c>
      <c r="R947" s="32">
        <v>349.95</v>
      </c>
      <c r="S947">
        <v>11</v>
      </c>
      <c r="T947">
        <v>52</v>
      </c>
      <c r="U947">
        <v>52</v>
      </c>
      <c r="W947">
        <v>24.8</v>
      </c>
      <c r="X947">
        <v>1</v>
      </c>
      <c r="Y947">
        <v>10.25</v>
      </c>
      <c r="Z947">
        <v>27.5</v>
      </c>
      <c r="AA947">
        <v>16</v>
      </c>
      <c r="AB947">
        <v>2.61</v>
      </c>
      <c r="AC947">
        <v>28.42</v>
      </c>
      <c r="AE947">
        <v>2</v>
      </c>
      <c r="AF947" t="s">
        <v>3081</v>
      </c>
      <c r="AG947">
        <v>50</v>
      </c>
      <c r="AK947" t="s">
        <v>291</v>
      </c>
      <c r="AM947" t="s">
        <v>98</v>
      </c>
      <c r="AN947" t="s">
        <v>98</v>
      </c>
      <c r="AO947" t="s">
        <v>291</v>
      </c>
      <c r="AP947" t="s">
        <v>99</v>
      </c>
      <c r="AQ947" t="s">
        <v>102</v>
      </c>
      <c r="AV947" t="s">
        <v>98</v>
      </c>
      <c r="AX947" t="s">
        <v>261</v>
      </c>
      <c r="AZ947" t="s">
        <v>2118</v>
      </c>
      <c r="BB947" t="s">
        <v>54</v>
      </c>
      <c r="BC947" t="s">
        <v>3077</v>
      </c>
      <c r="BF947" t="s">
        <v>3099</v>
      </c>
      <c r="BG947" t="s">
        <v>98</v>
      </c>
      <c r="BH947" t="s">
        <v>98</v>
      </c>
      <c r="BI947" t="s">
        <v>98</v>
      </c>
      <c r="BK947" t="s">
        <v>138</v>
      </c>
      <c r="BX947" t="s">
        <v>2218</v>
      </c>
      <c r="BY947" t="s">
        <v>291</v>
      </c>
      <c r="BZ947" t="s">
        <v>3079</v>
      </c>
      <c r="CA947" t="s">
        <v>3094</v>
      </c>
      <c r="CB947" t="s">
        <v>261</v>
      </c>
      <c r="CC947">
        <v>154</v>
      </c>
      <c r="CD947">
        <v>0.60199999999999998</v>
      </c>
      <c r="CE947">
        <v>72</v>
      </c>
      <c r="CF947">
        <v>3772</v>
      </c>
      <c r="CL947" t="s">
        <v>291</v>
      </c>
      <c r="CM947" t="s">
        <v>98</v>
      </c>
      <c r="CN947" t="s">
        <v>3095</v>
      </c>
      <c r="CO947" s="1">
        <v>39604</v>
      </c>
      <c r="CP947" s="1">
        <v>43595</v>
      </c>
    </row>
    <row r="948" spans="1:94" x14ac:dyDescent="0.25">
      <c r="A948" s="4" t="s">
        <v>3100</v>
      </c>
      <c r="B948" t="str">
        <f xml:space="preserve"> "" &amp; 706411032448</f>
        <v>706411032448</v>
      </c>
      <c r="C948" t="s">
        <v>2452</v>
      </c>
      <c r="D948" t="s">
        <v>4494</v>
      </c>
      <c r="E948" t="str">
        <f xml:space="preserve"> "NAPOLI" &amp;  CHAR(153) &amp; " II 68"""</f>
        <v>NAPOLI™ II 68"</v>
      </c>
      <c r="F948" t="s">
        <v>2113</v>
      </c>
      <c r="G948">
        <v>1</v>
      </c>
      <c r="H948">
        <v>1</v>
      </c>
      <c r="I948" t="s">
        <v>97</v>
      </c>
      <c r="J948" s="32">
        <v>319.95</v>
      </c>
      <c r="K948" s="32">
        <v>959.85</v>
      </c>
      <c r="L948">
        <v>0</v>
      </c>
      <c r="N948">
        <v>0</v>
      </c>
      <c r="Q948" t="s">
        <v>291</v>
      </c>
      <c r="R948" s="32">
        <v>579.95000000000005</v>
      </c>
      <c r="S948">
        <v>26.5</v>
      </c>
      <c r="T948">
        <v>68</v>
      </c>
      <c r="U948">
        <v>68</v>
      </c>
      <c r="W948">
        <v>45.86</v>
      </c>
      <c r="X948">
        <v>1</v>
      </c>
      <c r="Y948">
        <v>14.25</v>
      </c>
      <c r="Z948">
        <v>32.869999999999997</v>
      </c>
      <c r="AA948">
        <v>19.489999999999998</v>
      </c>
      <c r="AB948">
        <v>5.2830000000000004</v>
      </c>
      <c r="AC948">
        <v>52.58</v>
      </c>
      <c r="AE948">
        <v>2</v>
      </c>
      <c r="AF948" t="s">
        <v>2598</v>
      </c>
      <c r="AG948">
        <v>50</v>
      </c>
      <c r="AK948" t="s">
        <v>291</v>
      </c>
      <c r="AM948" t="s">
        <v>98</v>
      </c>
      <c r="AN948" t="s">
        <v>291</v>
      </c>
      <c r="AO948" t="s">
        <v>98</v>
      </c>
      <c r="AP948" t="s">
        <v>99</v>
      </c>
      <c r="AQ948" t="s">
        <v>102</v>
      </c>
      <c r="AV948" t="s">
        <v>98</v>
      </c>
      <c r="AX948" t="s">
        <v>541</v>
      </c>
      <c r="AZ948" t="s">
        <v>2235</v>
      </c>
      <c r="BB948" t="s">
        <v>54</v>
      </c>
      <c r="BC948" t="s">
        <v>2496</v>
      </c>
      <c r="BF948" t="s">
        <v>3101</v>
      </c>
      <c r="BG948" t="s">
        <v>98</v>
      </c>
      <c r="BH948" t="s">
        <v>98</v>
      </c>
      <c r="BI948" t="s">
        <v>98</v>
      </c>
      <c r="BK948" t="s">
        <v>138</v>
      </c>
      <c r="BU948">
        <v>12</v>
      </c>
      <c r="BW948">
        <v>0.75</v>
      </c>
      <c r="BX948" t="s">
        <v>2218</v>
      </c>
      <c r="BY948" t="s">
        <v>291</v>
      </c>
      <c r="BZ948" t="s">
        <v>541</v>
      </c>
      <c r="CA948" t="s">
        <v>3102</v>
      </c>
      <c r="CB948" t="s">
        <v>541</v>
      </c>
      <c r="CC948">
        <v>117</v>
      </c>
      <c r="CD948">
        <v>0.93200000000000005</v>
      </c>
      <c r="CE948">
        <v>108.22</v>
      </c>
      <c r="CF948">
        <v>6180.09</v>
      </c>
      <c r="CL948" t="s">
        <v>291</v>
      </c>
      <c r="CM948" t="s">
        <v>291</v>
      </c>
      <c r="CO948" s="1">
        <v>39142</v>
      </c>
      <c r="CP948" s="1">
        <v>43595</v>
      </c>
    </row>
    <row r="949" spans="1:94" x14ac:dyDescent="0.25">
      <c r="A949" s="4" t="s">
        <v>3103</v>
      </c>
      <c r="B949" t="str">
        <f xml:space="preserve"> "" &amp; 706411052569</f>
        <v>706411052569</v>
      </c>
      <c r="C949" t="s">
        <v>2418</v>
      </c>
      <c r="D949" t="s">
        <v>3104</v>
      </c>
      <c r="E949" t="s">
        <v>3105</v>
      </c>
      <c r="F949" t="s">
        <v>2113</v>
      </c>
      <c r="G949">
        <v>1</v>
      </c>
      <c r="H949">
        <v>1</v>
      </c>
      <c r="I949" t="s">
        <v>97</v>
      </c>
      <c r="J949" s="32">
        <v>259.95</v>
      </c>
      <c r="K949" s="32">
        <v>779.85</v>
      </c>
      <c r="L949">
        <v>0</v>
      </c>
      <c r="N949">
        <v>0</v>
      </c>
      <c r="Q949" t="s">
        <v>291</v>
      </c>
      <c r="R949" s="32">
        <v>519.95000000000005</v>
      </c>
      <c r="S949">
        <v>15</v>
      </c>
      <c r="T949">
        <v>60</v>
      </c>
      <c r="U949">
        <v>60</v>
      </c>
      <c r="W949">
        <v>17.68</v>
      </c>
      <c r="X949">
        <v>1</v>
      </c>
      <c r="Y949">
        <v>10</v>
      </c>
      <c r="Z949">
        <v>27.25</v>
      </c>
      <c r="AA949">
        <v>11.88</v>
      </c>
      <c r="AB949">
        <v>1.873</v>
      </c>
      <c r="AC949">
        <v>20.53</v>
      </c>
      <c r="AE949">
        <v>1</v>
      </c>
      <c r="AF949" t="s">
        <v>2141</v>
      </c>
      <c r="AG949">
        <v>17</v>
      </c>
      <c r="AK949" t="s">
        <v>291</v>
      </c>
      <c r="AM949" t="s">
        <v>98</v>
      </c>
      <c r="AN949" t="s">
        <v>98</v>
      </c>
      <c r="AO949" t="s">
        <v>291</v>
      </c>
      <c r="AP949" t="s">
        <v>99</v>
      </c>
      <c r="AQ949" t="s">
        <v>102</v>
      </c>
      <c r="AV949" t="s">
        <v>98</v>
      </c>
      <c r="AX949" t="s">
        <v>2129</v>
      </c>
      <c r="AZ949" t="s">
        <v>2180</v>
      </c>
      <c r="BB949" t="s">
        <v>2119</v>
      </c>
      <c r="BC949" t="s">
        <v>2949</v>
      </c>
      <c r="BF949" t="s">
        <v>3106</v>
      </c>
      <c r="BG949" t="s">
        <v>98</v>
      </c>
      <c r="BH949" t="s">
        <v>98</v>
      </c>
      <c r="BI949" t="s">
        <v>98</v>
      </c>
      <c r="BK949" t="s">
        <v>138</v>
      </c>
      <c r="BU949">
        <v>6</v>
      </c>
      <c r="BW949">
        <v>0.75</v>
      </c>
      <c r="BX949" t="s">
        <v>2206</v>
      </c>
      <c r="BY949" t="s">
        <v>291</v>
      </c>
      <c r="BZ949" t="s">
        <v>441</v>
      </c>
      <c r="CA949" t="s">
        <v>3107</v>
      </c>
      <c r="CB949" t="s">
        <v>2129</v>
      </c>
      <c r="CC949">
        <v>169</v>
      </c>
      <c r="CD949">
        <v>0.55600000000000005</v>
      </c>
      <c r="CE949">
        <v>36.01</v>
      </c>
      <c r="CF949">
        <v>6498</v>
      </c>
      <c r="CG949">
        <v>3000</v>
      </c>
      <c r="CH949">
        <v>98</v>
      </c>
      <c r="CI949">
        <v>1042</v>
      </c>
      <c r="CJ949">
        <v>264</v>
      </c>
      <c r="CK949">
        <v>30000</v>
      </c>
      <c r="CL949" t="s">
        <v>291</v>
      </c>
      <c r="CM949" t="s">
        <v>291</v>
      </c>
      <c r="CN949" t="s">
        <v>3108</v>
      </c>
      <c r="CO949" s="1">
        <v>42140</v>
      </c>
      <c r="CP949" s="1">
        <v>43595</v>
      </c>
    </row>
    <row r="950" spans="1:94" x14ac:dyDescent="0.25">
      <c r="A950" s="4" t="s">
        <v>3109</v>
      </c>
      <c r="B950" t="str">
        <f xml:space="preserve"> "" &amp; 706411052583</f>
        <v>706411052583</v>
      </c>
      <c r="C950" t="s">
        <v>2178</v>
      </c>
      <c r="D950" t="s">
        <v>3104</v>
      </c>
      <c r="E950" t="s">
        <v>3105</v>
      </c>
      <c r="F950" t="s">
        <v>2113</v>
      </c>
      <c r="G950">
        <v>1</v>
      </c>
      <c r="H950">
        <v>1</v>
      </c>
      <c r="I950" t="s">
        <v>97</v>
      </c>
      <c r="J950" s="32">
        <v>259.95</v>
      </c>
      <c r="K950" s="32">
        <v>779.85</v>
      </c>
      <c r="L950">
        <v>0</v>
      </c>
      <c r="N950">
        <v>0</v>
      </c>
      <c r="Q950" t="s">
        <v>291</v>
      </c>
      <c r="R950" s="32">
        <v>519.95000000000005</v>
      </c>
      <c r="S950">
        <v>15</v>
      </c>
      <c r="T950">
        <v>60</v>
      </c>
      <c r="U950">
        <v>60</v>
      </c>
      <c r="W950">
        <v>17.68</v>
      </c>
      <c r="X950">
        <v>1</v>
      </c>
      <c r="Y950">
        <v>10</v>
      </c>
      <c r="Z950">
        <v>27.25</v>
      </c>
      <c r="AA950">
        <v>11.88</v>
      </c>
      <c r="AB950">
        <v>1.873</v>
      </c>
      <c r="AC950">
        <v>20.53</v>
      </c>
      <c r="AE950">
        <v>1</v>
      </c>
      <c r="AF950" t="s">
        <v>2141</v>
      </c>
      <c r="AG950">
        <v>17</v>
      </c>
      <c r="AK950" t="s">
        <v>291</v>
      </c>
      <c r="AM950" t="s">
        <v>98</v>
      </c>
      <c r="AN950" t="s">
        <v>98</v>
      </c>
      <c r="AO950" t="s">
        <v>291</v>
      </c>
      <c r="AP950" t="s">
        <v>99</v>
      </c>
      <c r="AQ950" t="s">
        <v>102</v>
      </c>
      <c r="AV950" t="s">
        <v>98</v>
      </c>
      <c r="AX950" t="s">
        <v>3110</v>
      </c>
      <c r="AZ950" t="s">
        <v>2180</v>
      </c>
      <c r="BB950" t="s">
        <v>2119</v>
      </c>
      <c r="BC950" t="s">
        <v>2949</v>
      </c>
      <c r="BF950" t="s">
        <v>3111</v>
      </c>
      <c r="BG950" t="s">
        <v>98</v>
      </c>
      <c r="BH950" t="s">
        <v>98</v>
      </c>
      <c r="BI950" t="s">
        <v>98</v>
      </c>
      <c r="BK950" t="s">
        <v>138</v>
      </c>
      <c r="BU950">
        <v>6</v>
      </c>
      <c r="BW950">
        <v>0.75</v>
      </c>
      <c r="BX950" t="s">
        <v>2206</v>
      </c>
      <c r="BY950" t="s">
        <v>291</v>
      </c>
      <c r="BZ950" t="s">
        <v>2786</v>
      </c>
      <c r="CA950" t="s">
        <v>3107</v>
      </c>
      <c r="CB950" t="s">
        <v>3110</v>
      </c>
      <c r="CC950">
        <v>169</v>
      </c>
      <c r="CD950">
        <v>0.55600000000000005</v>
      </c>
      <c r="CE950">
        <v>36.01</v>
      </c>
      <c r="CF950">
        <v>6498</v>
      </c>
      <c r="CG950">
        <v>3000</v>
      </c>
      <c r="CH950">
        <v>98</v>
      </c>
      <c r="CI950">
        <v>1042</v>
      </c>
      <c r="CJ950">
        <v>264</v>
      </c>
      <c r="CK950">
        <v>30000</v>
      </c>
      <c r="CL950" t="s">
        <v>291</v>
      </c>
      <c r="CM950" t="s">
        <v>291</v>
      </c>
      <c r="CN950" t="s">
        <v>3108</v>
      </c>
      <c r="CO950" s="1">
        <v>42140</v>
      </c>
      <c r="CP950" s="1">
        <v>43595</v>
      </c>
    </row>
    <row r="951" spans="1:94" x14ac:dyDescent="0.25">
      <c r="A951" s="4" t="s">
        <v>3112</v>
      </c>
      <c r="B951" t="str">
        <f xml:space="preserve"> "" &amp; 706411052590</f>
        <v>706411052590</v>
      </c>
      <c r="C951" t="s">
        <v>2178</v>
      </c>
      <c r="D951" t="s">
        <v>3104</v>
      </c>
      <c r="E951" t="s">
        <v>3105</v>
      </c>
      <c r="F951" t="s">
        <v>2113</v>
      </c>
      <c r="G951">
        <v>1</v>
      </c>
      <c r="H951">
        <v>1</v>
      </c>
      <c r="I951" t="s">
        <v>97</v>
      </c>
      <c r="J951" s="32">
        <v>259.95</v>
      </c>
      <c r="K951" s="32">
        <v>779.85</v>
      </c>
      <c r="L951">
        <v>0</v>
      </c>
      <c r="N951">
        <v>0</v>
      </c>
      <c r="Q951" t="s">
        <v>291</v>
      </c>
      <c r="R951" s="32">
        <v>519.95000000000005</v>
      </c>
      <c r="S951">
        <v>15</v>
      </c>
      <c r="T951">
        <v>60</v>
      </c>
      <c r="U951">
        <v>60</v>
      </c>
      <c r="V951">
        <v>60</v>
      </c>
      <c r="W951">
        <v>17.68</v>
      </c>
      <c r="X951">
        <v>1</v>
      </c>
      <c r="Y951">
        <v>10</v>
      </c>
      <c r="Z951">
        <v>27.25</v>
      </c>
      <c r="AA951">
        <v>11.88</v>
      </c>
      <c r="AB951">
        <v>1.873</v>
      </c>
      <c r="AC951">
        <v>20.53</v>
      </c>
      <c r="AE951">
        <v>1</v>
      </c>
      <c r="AF951" t="s">
        <v>2141</v>
      </c>
      <c r="AG951">
        <v>17</v>
      </c>
      <c r="AK951" t="s">
        <v>291</v>
      </c>
      <c r="AM951" t="s">
        <v>98</v>
      </c>
      <c r="AN951" t="s">
        <v>98</v>
      </c>
      <c r="AO951" t="s">
        <v>291</v>
      </c>
      <c r="AP951" t="s">
        <v>99</v>
      </c>
      <c r="AQ951" t="s">
        <v>102</v>
      </c>
      <c r="AV951" t="s">
        <v>98</v>
      </c>
      <c r="AX951" t="s">
        <v>3113</v>
      </c>
      <c r="AZ951" t="s">
        <v>2180</v>
      </c>
      <c r="BB951" t="s">
        <v>2119</v>
      </c>
      <c r="BC951" t="s">
        <v>2949</v>
      </c>
      <c r="BF951" t="s">
        <v>3114</v>
      </c>
      <c r="BG951" t="s">
        <v>98</v>
      </c>
      <c r="BH951" t="s">
        <v>98</v>
      </c>
      <c r="BI951" t="s">
        <v>98</v>
      </c>
      <c r="BK951" t="s">
        <v>138</v>
      </c>
      <c r="BU951">
        <v>6</v>
      </c>
      <c r="BW951">
        <v>0.75</v>
      </c>
      <c r="BX951" t="s">
        <v>2206</v>
      </c>
      <c r="BY951" t="s">
        <v>291</v>
      </c>
      <c r="BZ951" t="s">
        <v>245</v>
      </c>
      <c r="CA951" t="s">
        <v>3107</v>
      </c>
      <c r="CB951" t="s">
        <v>3113</v>
      </c>
      <c r="CC951">
        <v>169</v>
      </c>
      <c r="CD951">
        <v>0.55600000000000005</v>
      </c>
      <c r="CE951">
        <v>36.01</v>
      </c>
      <c r="CF951">
        <v>6498</v>
      </c>
      <c r="CG951">
        <v>3000</v>
      </c>
      <c r="CH951">
        <v>98</v>
      </c>
      <c r="CI951">
        <v>1042</v>
      </c>
      <c r="CJ951">
        <v>264</v>
      </c>
      <c r="CK951">
        <v>30000</v>
      </c>
      <c r="CL951" t="s">
        <v>291</v>
      </c>
      <c r="CM951" t="s">
        <v>291</v>
      </c>
      <c r="CN951" t="s">
        <v>3108</v>
      </c>
      <c r="CO951" s="1">
        <v>42140</v>
      </c>
      <c r="CP951" s="1">
        <v>43595</v>
      </c>
    </row>
    <row r="952" spans="1:94" x14ac:dyDescent="0.25">
      <c r="A952" s="4" t="s">
        <v>3115</v>
      </c>
      <c r="B952" t="str">
        <f xml:space="preserve"> "" &amp; 706411054501</f>
        <v>706411054501</v>
      </c>
      <c r="C952" t="s">
        <v>2178</v>
      </c>
      <c r="D952" t="s">
        <v>3116</v>
      </c>
      <c r="E952" t="s">
        <v>3117</v>
      </c>
      <c r="F952" t="s">
        <v>2113</v>
      </c>
      <c r="G952">
        <v>1</v>
      </c>
      <c r="H952">
        <v>1</v>
      </c>
      <c r="I952" t="s">
        <v>97</v>
      </c>
      <c r="J952" s="32">
        <v>89.95</v>
      </c>
      <c r="K952" s="32">
        <v>269.85000000000002</v>
      </c>
      <c r="L952">
        <v>0</v>
      </c>
      <c r="N952">
        <v>0</v>
      </c>
      <c r="Q952" t="s">
        <v>291</v>
      </c>
      <c r="R952" s="32">
        <v>179.95</v>
      </c>
      <c r="S952">
        <v>10.63</v>
      </c>
      <c r="T952">
        <v>52</v>
      </c>
      <c r="U952">
        <v>52</v>
      </c>
      <c r="W952">
        <v>13.45</v>
      </c>
      <c r="X952">
        <v>1</v>
      </c>
      <c r="Y952">
        <v>7.63</v>
      </c>
      <c r="Z952">
        <v>24.38</v>
      </c>
      <c r="AA952">
        <v>13.38</v>
      </c>
      <c r="AB952">
        <v>1.44</v>
      </c>
      <c r="AC952">
        <v>16.09</v>
      </c>
      <c r="AK952" t="s">
        <v>98</v>
      </c>
      <c r="AM952" t="s">
        <v>98</v>
      </c>
      <c r="AN952" t="s">
        <v>291</v>
      </c>
      <c r="AO952" t="s">
        <v>98</v>
      </c>
      <c r="AP952" t="s">
        <v>99</v>
      </c>
      <c r="AQ952" t="s">
        <v>102</v>
      </c>
      <c r="AV952" t="s">
        <v>98</v>
      </c>
      <c r="AX952" t="s">
        <v>3118</v>
      </c>
      <c r="AZ952" t="s">
        <v>2149</v>
      </c>
      <c r="BF952" t="s">
        <v>3119</v>
      </c>
      <c r="BG952" t="s">
        <v>98</v>
      </c>
      <c r="BH952" t="s">
        <v>98</v>
      </c>
      <c r="BI952" t="s">
        <v>98</v>
      </c>
      <c r="BK952" t="s">
        <v>138</v>
      </c>
      <c r="BU952">
        <v>6</v>
      </c>
      <c r="BW952">
        <v>0.75</v>
      </c>
      <c r="BX952" t="s">
        <v>2206</v>
      </c>
      <c r="BZ952" t="s">
        <v>2159</v>
      </c>
      <c r="CA952" t="s">
        <v>3120</v>
      </c>
      <c r="CB952" t="s">
        <v>3118</v>
      </c>
      <c r="CC952">
        <v>185</v>
      </c>
      <c r="CD952">
        <v>0.71</v>
      </c>
      <c r="CE952">
        <v>84.94</v>
      </c>
      <c r="CF952">
        <v>6664.63</v>
      </c>
      <c r="CL952" t="s">
        <v>98</v>
      </c>
      <c r="CM952" t="s">
        <v>98</v>
      </c>
      <c r="CO952" s="1">
        <v>42459</v>
      </c>
      <c r="CP952" s="1">
        <v>43595</v>
      </c>
    </row>
    <row r="953" spans="1:94" x14ac:dyDescent="0.25">
      <c r="A953" s="4" t="s">
        <v>3121</v>
      </c>
      <c r="B953" t="str">
        <f xml:space="preserve"> "" &amp; 706411054495</f>
        <v>706411054495</v>
      </c>
      <c r="C953" t="s">
        <v>2178</v>
      </c>
      <c r="D953" t="s">
        <v>3116</v>
      </c>
      <c r="E953" t="s">
        <v>3117</v>
      </c>
      <c r="F953" t="s">
        <v>2113</v>
      </c>
      <c r="G953">
        <v>1</v>
      </c>
      <c r="H953">
        <v>1</v>
      </c>
      <c r="I953" t="s">
        <v>97</v>
      </c>
      <c r="J953" s="32">
        <v>89.95</v>
      </c>
      <c r="K953" s="32">
        <v>269.85000000000002</v>
      </c>
      <c r="L953">
        <v>0</v>
      </c>
      <c r="N953">
        <v>0</v>
      </c>
      <c r="Q953" t="s">
        <v>291</v>
      </c>
      <c r="R953" s="32">
        <v>179.95</v>
      </c>
      <c r="S953">
        <v>10.63</v>
      </c>
      <c r="T953">
        <v>52</v>
      </c>
      <c r="U953">
        <v>52</v>
      </c>
      <c r="W953">
        <v>13.45</v>
      </c>
      <c r="X953">
        <v>1</v>
      </c>
      <c r="Y953">
        <v>7.63</v>
      </c>
      <c r="Z953">
        <v>24.38</v>
      </c>
      <c r="AA953">
        <v>13.38</v>
      </c>
      <c r="AB953">
        <v>1.44</v>
      </c>
      <c r="AC953">
        <v>16.09</v>
      </c>
      <c r="AK953" t="s">
        <v>98</v>
      </c>
      <c r="AM953" t="s">
        <v>98</v>
      </c>
      <c r="AN953" t="s">
        <v>291</v>
      </c>
      <c r="AO953" t="s">
        <v>98</v>
      </c>
      <c r="AP953" t="s">
        <v>99</v>
      </c>
      <c r="AQ953" t="s">
        <v>102</v>
      </c>
      <c r="AV953" t="s">
        <v>98</v>
      </c>
      <c r="AX953" t="s">
        <v>2129</v>
      </c>
      <c r="AZ953" t="s">
        <v>2149</v>
      </c>
      <c r="BF953" t="s">
        <v>3122</v>
      </c>
      <c r="BG953" t="s">
        <v>98</v>
      </c>
      <c r="BH953" t="s">
        <v>98</v>
      </c>
      <c r="BI953" t="s">
        <v>98</v>
      </c>
      <c r="BK953" t="s">
        <v>138</v>
      </c>
      <c r="BU953">
        <v>6</v>
      </c>
      <c r="BW953">
        <v>0.75</v>
      </c>
      <c r="BX953" t="s">
        <v>2206</v>
      </c>
      <c r="BZ953" t="s">
        <v>441</v>
      </c>
      <c r="CA953" t="s">
        <v>3120</v>
      </c>
      <c r="CB953" t="s">
        <v>2129</v>
      </c>
      <c r="CC953">
        <v>185</v>
      </c>
      <c r="CD953">
        <v>0.71</v>
      </c>
      <c r="CE953">
        <v>84.94</v>
      </c>
      <c r="CF953">
        <v>6664.63</v>
      </c>
      <c r="CL953" t="s">
        <v>98</v>
      </c>
      <c r="CM953" t="s">
        <v>98</v>
      </c>
      <c r="CO953" s="1">
        <v>42459</v>
      </c>
      <c r="CP953" s="1">
        <v>43595</v>
      </c>
    </row>
    <row r="954" spans="1:94" x14ac:dyDescent="0.25">
      <c r="A954" s="4" t="s">
        <v>3123</v>
      </c>
      <c r="B954" t="str">
        <f xml:space="preserve"> "" &amp; 706411061608</f>
        <v>706411061608</v>
      </c>
      <c r="C954" t="s">
        <v>2115</v>
      </c>
      <c r="D954" t="s">
        <v>3116</v>
      </c>
      <c r="E954" t="s">
        <v>3117</v>
      </c>
      <c r="F954" t="s">
        <v>2113</v>
      </c>
      <c r="G954">
        <v>1</v>
      </c>
      <c r="H954">
        <v>1</v>
      </c>
      <c r="I954" t="s">
        <v>97</v>
      </c>
      <c r="J954" s="32">
        <v>89.95</v>
      </c>
      <c r="K954" s="32">
        <v>269.85000000000002</v>
      </c>
      <c r="L954">
        <v>0</v>
      </c>
      <c r="N954">
        <v>0</v>
      </c>
      <c r="Q954" t="s">
        <v>291</v>
      </c>
      <c r="R954" s="32">
        <v>179.95</v>
      </c>
      <c r="S954">
        <v>10.75</v>
      </c>
      <c r="T954">
        <v>52</v>
      </c>
      <c r="U954">
        <v>52</v>
      </c>
      <c r="W954">
        <v>13.45</v>
      </c>
      <c r="X954">
        <v>1</v>
      </c>
      <c r="Y954">
        <v>7.63</v>
      </c>
      <c r="Z954">
        <v>24.38</v>
      </c>
      <c r="AA954">
        <v>13.38</v>
      </c>
      <c r="AB954">
        <v>1.44</v>
      </c>
      <c r="AC954">
        <v>16.09</v>
      </c>
      <c r="AD954">
        <v>120</v>
      </c>
      <c r="AK954" t="s">
        <v>98</v>
      </c>
      <c r="AM954" t="s">
        <v>98</v>
      </c>
      <c r="AN954" t="s">
        <v>291</v>
      </c>
      <c r="AO954" t="s">
        <v>98</v>
      </c>
      <c r="AP954" t="s">
        <v>99</v>
      </c>
      <c r="AQ954" t="s">
        <v>102</v>
      </c>
      <c r="AV954" t="s">
        <v>98</v>
      </c>
      <c r="AX954" t="s">
        <v>179</v>
      </c>
      <c r="AZ954" t="s">
        <v>535</v>
      </c>
      <c r="BF954" t="s">
        <v>3124</v>
      </c>
      <c r="BG954" t="s">
        <v>98</v>
      </c>
      <c r="BH954" t="s">
        <v>98</v>
      </c>
      <c r="BI954" t="s">
        <v>98</v>
      </c>
      <c r="BK954" t="s">
        <v>138</v>
      </c>
      <c r="BU954">
        <v>6</v>
      </c>
      <c r="BW954">
        <v>0.75</v>
      </c>
      <c r="BX954">
        <v>14</v>
      </c>
      <c r="BZ954" t="s">
        <v>179</v>
      </c>
      <c r="CA954" t="s">
        <v>3120</v>
      </c>
      <c r="CB954" t="s">
        <v>179</v>
      </c>
      <c r="CC954">
        <v>183</v>
      </c>
      <c r="CD954">
        <v>0.71</v>
      </c>
      <c r="CE954">
        <v>84.24</v>
      </c>
      <c r="CF954">
        <v>5168</v>
      </c>
      <c r="CL954" t="s">
        <v>98</v>
      </c>
      <c r="CM954" t="s">
        <v>98</v>
      </c>
      <c r="CN954" t="s">
        <v>349</v>
      </c>
      <c r="CO954" s="1">
        <v>43421</v>
      </c>
      <c r="CP954" s="1">
        <v>43595</v>
      </c>
    </row>
    <row r="955" spans="1:94" x14ac:dyDescent="0.25">
      <c r="A955" s="4" t="s">
        <v>3125</v>
      </c>
      <c r="B955" t="str">
        <f xml:space="preserve"> "" &amp; 706411054525</f>
        <v>706411054525</v>
      </c>
      <c r="C955" t="s">
        <v>2382</v>
      </c>
      <c r="D955" t="s">
        <v>3116</v>
      </c>
      <c r="E955" t="s">
        <v>3117</v>
      </c>
      <c r="F955" t="s">
        <v>2113</v>
      </c>
      <c r="G955">
        <v>1</v>
      </c>
      <c r="H955">
        <v>1</v>
      </c>
      <c r="I955" t="s">
        <v>97</v>
      </c>
      <c r="J955" s="32">
        <v>89.95</v>
      </c>
      <c r="K955" s="32">
        <v>269.85000000000002</v>
      </c>
      <c r="L955">
        <v>0</v>
      </c>
      <c r="N955">
        <v>0</v>
      </c>
      <c r="Q955" t="s">
        <v>291</v>
      </c>
      <c r="R955" s="32">
        <v>179.95</v>
      </c>
      <c r="S955">
        <v>10.63</v>
      </c>
      <c r="T955">
        <v>52</v>
      </c>
      <c r="U955">
        <v>52</v>
      </c>
      <c r="W955">
        <v>13.45</v>
      </c>
      <c r="X955">
        <v>1</v>
      </c>
      <c r="Y955">
        <v>7.63</v>
      </c>
      <c r="Z955">
        <v>24.38</v>
      </c>
      <c r="AA955">
        <v>13.38</v>
      </c>
      <c r="AB955">
        <v>1.44</v>
      </c>
      <c r="AC955">
        <v>16.09</v>
      </c>
      <c r="AK955" t="s">
        <v>98</v>
      </c>
      <c r="AM955" t="s">
        <v>98</v>
      </c>
      <c r="AN955" t="s">
        <v>291</v>
      </c>
      <c r="AO955" t="s">
        <v>98</v>
      </c>
      <c r="AP955" t="s">
        <v>99</v>
      </c>
      <c r="AQ955" t="s">
        <v>102</v>
      </c>
      <c r="AV955" t="s">
        <v>98</v>
      </c>
      <c r="AX955" t="s">
        <v>703</v>
      </c>
      <c r="AZ955" t="s">
        <v>2149</v>
      </c>
      <c r="BF955" t="s">
        <v>3126</v>
      </c>
      <c r="BG955" t="s">
        <v>98</v>
      </c>
      <c r="BH955" t="s">
        <v>98</v>
      </c>
      <c r="BI955" t="s">
        <v>98</v>
      </c>
      <c r="BK955" t="s">
        <v>138</v>
      </c>
      <c r="BU955">
        <v>6</v>
      </c>
      <c r="BW955">
        <v>0.75</v>
      </c>
      <c r="BX955" t="s">
        <v>2206</v>
      </c>
      <c r="BZ955" t="s">
        <v>703</v>
      </c>
      <c r="CA955" t="s">
        <v>3120</v>
      </c>
      <c r="CB955" t="s">
        <v>703</v>
      </c>
      <c r="CC955">
        <v>185</v>
      </c>
      <c r="CD955">
        <v>0.71</v>
      </c>
      <c r="CE955">
        <v>84.94</v>
      </c>
      <c r="CF955">
        <v>6664.63</v>
      </c>
      <c r="CL955" t="s">
        <v>98</v>
      </c>
      <c r="CM955" t="s">
        <v>98</v>
      </c>
      <c r="CN955" t="s">
        <v>3127</v>
      </c>
      <c r="CO955" s="1">
        <v>42459</v>
      </c>
      <c r="CP955" s="1">
        <v>43595</v>
      </c>
    </row>
    <row r="956" spans="1:94" x14ac:dyDescent="0.25">
      <c r="A956" s="4" t="s">
        <v>3128</v>
      </c>
      <c r="B956" t="str">
        <f xml:space="preserve"> "" &amp; 706411054518</f>
        <v>706411054518</v>
      </c>
      <c r="C956" t="s">
        <v>2178</v>
      </c>
      <c r="D956" t="s">
        <v>3116</v>
      </c>
      <c r="E956" t="s">
        <v>3117</v>
      </c>
      <c r="F956" t="s">
        <v>2113</v>
      </c>
      <c r="G956">
        <v>1</v>
      </c>
      <c r="H956">
        <v>1</v>
      </c>
      <c r="I956" t="s">
        <v>97</v>
      </c>
      <c r="J956" s="32">
        <v>89.95</v>
      </c>
      <c r="K956" s="32">
        <v>269.85000000000002</v>
      </c>
      <c r="L956">
        <v>0</v>
      </c>
      <c r="N956">
        <v>0</v>
      </c>
      <c r="Q956" t="s">
        <v>291</v>
      </c>
      <c r="R956" s="32">
        <v>179.95</v>
      </c>
      <c r="S956">
        <v>10.63</v>
      </c>
      <c r="T956">
        <v>52</v>
      </c>
      <c r="U956">
        <v>52</v>
      </c>
      <c r="W956">
        <v>13.45</v>
      </c>
      <c r="X956">
        <v>1</v>
      </c>
      <c r="Y956">
        <v>7.63</v>
      </c>
      <c r="Z956">
        <v>24.38</v>
      </c>
      <c r="AA956">
        <v>13.38</v>
      </c>
      <c r="AB956">
        <v>1.44</v>
      </c>
      <c r="AC956">
        <v>16.09</v>
      </c>
      <c r="AK956" t="s">
        <v>98</v>
      </c>
      <c r="AM956" t="s">
        <v>98</v>
      </c>
      <c r="AN956" t="s">
        <v>291</v>
      </c>
      <c r="AO956" t="s">
        <v>98</v>
      </c>
      <c r="AP956" t="s">
        <v>99</v>
      </c>
      <c r="AQ956" t="s">
        <v>102</v>
      </c>
      <c r="AV956" t="s">
        <v>98</v>
      </c>
      <c r="AX956" t="s">
        <v>245</v>
      </c>
      <c r="AZ956" t="s">
        <v>2149</v>
      </c>
      <c r="BF956" t="s">
        <v>3129</v>
      </c>
      <c r="BG956" t="s">
        <v>98</v>
      </c>
      <c r="BH956" t="s">
        <v>98</v>
      </c>
      <c r="BI956" t="s">
        <v>98</v>
      </c>
      <c r="BK956" t="s">
        <v>138</v>
      </c>
      <c r="BU956">
        <v>6</v>
      </c>
      <c r="BW956">
        <v>0.75</v>
      </c>
      <c r="BX956">
        <v>14</v>
      </c>
      <c r="BZ956" t="s">
        <v>245</v>
      </c>
      <c r="CA956" t="s">
        <v>3120</v>
      </c>
      <c r="CB956" t="s">
        <v>245</v>
      </c>
      <c r="CC956">
        <v>185</v>
      </c>
      <c r="CD956">
        <v>0.71</v>
      </c>
      <c r="CE956">
        <v>84.94</v>
      </c>
      <c r="CF956">
        <v>6664.63</v>
      </c>
      <c r="CL956" t="s">
        <v>98</v>
      </c>
      <c r="CM956" t="s">
        <v>98</v>
      </c>
      <c r="CN956" t="s">
        <v>2937</v>
      </c>
      <c r="CO956" s="1">
        <v>42459</v>
      </c>
      <c r="CP956" s="1">
        <v>43595</v>
      </c>
    </row>
    <row r="957" spans="1:94" x14ac:dyDescent="0.25">
      <c r="A957" s="4" t="s">
        <v>3130</v>
      </c>
      <c r="B957" t="str">
        <f xml:space="preserve"> "" &amp; 706411061882</f>
        <v>706411061882</v>
      </c>
      <c r="C957" t="s">
        <v>2115</v>
      </c>
      <c r="D957" t="s">
        <v>3116</v>
      </c>
      <c r="E957" t="s">
        <v>3117</v>
      </c>
      <c r="F957" t="s">
        <v>2113</v>
      </c>
      <c r="G957">
        <v>1</v>
      </c>
      <c r="H957">
        <v>1</v>
      </c>
      <c r="I957" t="s">
        <v>97</v>
      </c>
      <c r="J957" s="32">
        <v>89.95</v>
      </c>
      <c r="K957" s="32">
        <v>269.85000000000002</v>
      </c>
      <c r="L957">
        <v>0</v>
      </c>
      <c r="N957">
        <v>0</v>
      </c>
      <c r="Q957" t="s">
        <v>291</v>
      </c>
      <c r="R957" s="32">
        <v>179.95</v>
      </c>
      <c r="S957">
        <v>10.75</v>
      </c>
      <c r="T957">
        <v>52</v>
      </c>
      <c r="U957">
        <v>52</v>
      </c>
      <c r="W957">
        <v>13.45</v>
      </c>
      <c r="X957">
        <v>1</v>
      </c>
      <c r="Y957">
        <v>7.63</v>
      </c>
      <c r="Z957">
        <v>24.38</v>
      </c>
      <c r="AA957">
        <v>13.38</v>
      </c>
      <c r="AB957">
        <v>1.44</v>
      </c>
      <c r="AC957">
        <v>16.09</v>
      </c>
      <c r="AK957" t="s">
        <v>98</v>
      </c>
      <c r="AM957" t="s">
        <v>98</v>
      </c>
      <c r="AN957" t="s">
        <v>291</v>
      </c>
      <c r="AO957" t="s">
        <v>98</v>
      </c>
      <c r="AP957" t="s">
        <v>99</v>
      </c>
      <c r="AQ957" t="s">
        <v>102</v>
      </c>
      <c r="AV957" t="s">
        <v>98</v>
      </c>
      <c r="AX957" t="s">
        <v>306</v>
      </c>
      <c r="AZ957" t="s">
        <v>2149</v>
      </c>
      <c r="BF957" t="s">
        <v>3131</v>
      </c>
      <c r="BG957" t="s">
        <v>98</v>
      </c>
      <c r="BH957" t="s">
        <v>98</v>
      </c>
      <c r="BI957" t="s">
        <v>98</v>
      </c>
      <c r="BK957" t="s">
        <v>138</v>
      </c>
      <c r="BU957">
        <v>6</v>
      </c>
      <c r="BW957">
        <v>0.75</v>
      </c>
      <c r="BX957" t="s">
        <v>2206</v>
      </c>
      <c r="BZ957" t="s">
        <v>306</v>
      </c>
      <c r="CA957" t="s">
        <v>3120</v>
      </c>
      <c r="CB957" t="s">
        <v>306</v>
      </c>
      <c r="CC957">
        <v>183</v>
      </c>
      <c r="CD957">
        <v>0.71</v>
      </c>
      <c r="CE957">
        <v>84.24</v>
      </c>
      <c r="CF957">
        <v>5168</v>
      </c>
      <c r="CL957" t="s">
        <v>98</v>
      </c>
      <c r="CM957" t="s">
        <v>291</v>
      </c>
      <c r="CN957" t="s">
        <v>2937</v>
      </c>
      <c r="CO957" s="1">
        <v>43542</v>
      </c>
      <c r="CP957" s="1">
        <v>43595</v>
      </c>
    </row>
    <row r="958" spans="1:94" x14ac:dyDescent="0.25">
      <c r="A958" s="4" t="s">
        <v>3132</v>
      </c>
      <c r="B958" t="str">
        <f xml:space="preserve"> "" &amp; 706411056406</f>
        <v>706411056406</v>
      </c>
      <c r="C958" t="s">
        <v>2678</v>
      </c>
      <c r="D958" t="s">
        <v>3133</v>
      </c>
      <c r="E958" t="s">
        <v>3134</v>
      </c>
      <c r="F958" t="s">
        <v>2113</v>
      </c>
      <c r="G958">
        <v>1</v>
      </c>
      <c r="H958">
        <v>1</v>
      </c>
      <c r="I958" t="s">
        <v>97</v>
      </c>
      <c r="J958" s="32">
        <v>79.95</v>
      </c>
      <c r="K958" s="32">
        <v>239.85</v>
      </c>
      <c r="L958">
        <v>0</v>
      </c>
      <c r="N958">
        <v>0</v>
      </c>
      <c r="Q958" t="s">
        <v>291</v>
      </c>
      <c r="R958" s="32">
        <v>129.94999999999999</v>
      </c>
      <c r="S958">
        <v>13.75</v>
      </c>
      <c r="T958">
        <v>54</v>
      </c>
      <c r="U958">
        <v>54</v>
      </c>
      <c r="W958">
        <v>17.48</v>
      </c>
      <c r="X958">
        <v>1</v>
      </c>
      <c r="Y958">
        <v>10.25</v>
      </c>
      <c r="Z958">
        <v>27.63</v>
      </c>
      <c r="AA958">
        <v>9.8800000000000008</v>
      </c>
      <c r="AB958">
        <v>1.619</v>
      </c>
      <c r="AC958">
        <v>19.91</v>
      </c>
      <c r="AK958" t="s">
        <v>98</v>
      </c>
      <c r="AM958" t="s">
        <v>98</v>
      </c>
      <c r="AN958" t="s">
        <v>98</v>
      </c>
      <c r="AO958" t="s">
        <v>291</v>
      </c>
      <c r="AP958" t="s">
        <v>99</v>
      </c>
      <c r="AQ958" t="s">
        <v>102</v>
      </c>
      <c r="AV958" t="s">
        <v>98</v>
      </c>
      <c r="AX958" t="s">
        <v>150</v>
      </c>
      <c r="AZ958" t="s">
        <v>535</v>
      </c>
      <c r="BF958" t="s">
        <v>3135</v>
      </c>
      <c r="BG958" t="s">
        <v>98</v>
      </c>
      <c r="BH958" t="s">
        <v>98</v>
      </c>
      <c r="BI958" t="s">
        <v>98</v>
      </c>
      <c r="BK958" t="s">
        <v>138</v>
      </c>
      <c r="BU958">
        <v>6</v>
      </c>
      <c r="BW958">
        <v>0.75</v>
      </c>
      <c r="BZ958" t="s">
        <v>150</v>
      </c>
      <c r="CA958" t="s">
        <v>3136</v>
      </c>
      <c r="CB958" t="s">
        <v>150</v>
      </c>
      <c r="CL958" t="s">
        <v>98</v>
      </c>
      <c r="CM958" t="s">
        <v>291</v>
      </c>
      <c r="CO958" s="1">
        <v>42748</v>
      </c>
      <c r="CP958" s="1">
        <v>43595</v>
      </c>
    </row>
    <row r="959" spans="1:94" x14ac:dyDescent="0.25">
      <c r="A959" s="4" t="s">
        <v>3137</v>
      </c>
      <c r="B959" t="str">
        <f xml:space="preserve"> "" &amp; 706411056420</f>
        <v>706411056420</v>
      </c>
      <c r="C959" t="s">
        <v>2678</v>
      </c>
      <c r="D959" t="s">
        <v>3133</v>
      </c>
      <c r="E959" t="s">
        <v>3134</v>
      </c>
      <c r="F959" t="s">
        <v>2113</v>
      </c>
      <c r="G959">
        <v>1</v>
      </c>
      <c r="H959">
        <v>1</v>
      </c>
      <c r="I959" t="s">
        <v>97</v>
      </c>
      <c r="J959" s="32">
        <v>79.95</v>
      </c>
      <c r="K959" s="32">
        <v>239.85</v>
      </c>
      <c r="L959">
        <v>0</v>
      </c>
      <c r="N959">
        <v>0</v>
      </c>
      <c r="Q959" t="s">
        <v>291</v>
      </c>
      <c r="R959" s="32">
        <v>129.94999999999999</v>
      </c>
      <c r="S959">
        <v>13.75</v>
      </c>
      <c r="T959">
        <v>54</v>
      </c>
      <c r="U959">
        <v>54</v>
      </c>
      <c r="W959">
        <v>17.48</v>
      </c>
      <c r="X959">
        <v>1</v>
      </c>
      <c r="Y959">
        <v>10.25</v>
      </c>
      <c r="Z959">
        <v>27.63</v>
      </c>
      <c r="AA959">
        <v>9.8800000000000008</v>
      </c>
      <c r="AB959">
        <v>1.619</v>
      </c>
      <c r="AC959">
        <v>19.91</v>
      </c>
      <c r="AK959" t="s">
        <v>98</v>
      </c>
      <c r="AM959" t="s">
        <v>98</v>
      </c>
      <c r="AN959" t="s">
        <v>98</v>
      </c>
      <c r="AO959" t="s">
        <v>98</v>
      </c>
      <c r="AP959" t="s">
        <v>99</v>
      </c>
      <c r="AQ959" t="s">
        <v>102</v>
      </c>
      <c r="AV959" t="s">
        <v>98</v>
      </c>
      <c r="AX959" t="s">
        <v>371</v>
      </c>
      <c r="AZ959" t="s">
        <v>535</v>
      </c>
      <c r="BF959" t="s">
        <v>3138</v>
      </c>
      <c r="BG959" t="s">
        <v>98</v>
      </c>
      <c r="BH959" t="s">
        <v>98</v>
      </c>
      <c r="BI959" t="s">
        <v>98</v>
      </c>
      <c r="BK959" t="s">
        <v>138</v>
      </c>
      <c r="BU959">
        <v>6</v>
      </c>
      <c r="BW959">
        <v>0.75</v>
      </c>
      <c r="BX959" t="s">
        <v>3139</v>
      </c>
      <c r="BZ959" t="s">
        <v>371</v>
      </c>
      <c r="CA959" t="s">
        <v>3136</v>
      </c>
      <c r="CB959" t="s">
        <v>371</v>
      </c>
      <c r="CE959">
        <v>52</v>
      </c>
      <c r="CF959">
        <v>5816</v>
      </c>
      <c r="CL959" t="s">
        <v>98</v>
      </c>
      <c r="CM959" t="s">
        <v>291</v>
      </c>
      <c r="CN959" t="s">
        <v>3140</v>
      </c>
      <c r="CO959" s="1">
        <v>42748</v>
      </c>
      <c r="CP959" s="1">
        <v>43595</v>
      </c>
    </row>
    <row r="960" spans="1:94" x14ac:dyDescent="0.25">
      <c r="A960" s="4" t="s">
        <v>3141</v>
      </c>
      <c r="B960" t="str">
        <f xml:space="preserve"> "" &amp; 706411056413</f>
        <v>706411056413</v>
      </c>
      <c r="C960" t="s">
        <v>2678</v>
      </c>
      <c r="D960" t="s">
        <v>3133</v>
      </c>
      <c r="E960" t="s">
        <v>3134</v>
      </c>
      <c r="F960" t="s">
        <v>2113</v>
      </c>
      <c r="G960">
        <v>1</v>
      </c>
      <c r="H960">
        <v>1</v>
      </c>
      <c r="I960" t="s">
        <v>97</v>
      </c>
      <c r="J960" s="32">
        <v>79.95</v>
      </c>
      <c r="K960" s="32">
        <v>239.85</v>
      </c>
      <c r="L960">
        <v>0</v>
      </c>
      <c r="N960">
        <v>0</v>
      </c>
      <c r="Q960" t="s">
        <v>291</v>
      </c>
      <c r="R960" s="32">
        <v>129.94999999999999</v>
      </c>
      <c r="S960">
        <v>13.75</v>
      </c>
      <c r="T960">
        <v>54</v>
      </c>
      <c r="U960">
        <v>54</v>
      </c>
      <c r="W960">
        <v>17.48</v>
      </c>
      <c r="X960">
        <v>1</v>
      </c>
      <c r="Y960">
        <v>10.25</v>
      </c>
      <c r="Z960">
        <v>27.63</v>
      </c>
      <c r="AA960">
        <v>9.8800000000000008</v>
      </c>
      <c r="AB960">
        <v>1.619</v>
      </c>
      <c r="AC960">
        <v>19.91</v>
      </c>
      <c r="AK960" t="s">
        <v>98</v>
      </c>
      <c r="AM960" t="s">
        <v>98</v>
      </c>
      <c r="AN960" t="s">
        <v>98</v>
      </c>
      <c r="AO960" t="s">
        <v>98</v>
      </c>
      <c r="AP960" t="s">
        <v>99</v>
      </c>
      <c r="AQ960" t="s">
        <v>102</v>
      </c>
      <c r="AV960" t="s">
        <v>98</v>
      </c>
      <c r="AX960" t="s">
        <v>306</v>
      </c>
      <c r="AZ960" t="s">
        <v>535</v>
      </c>
      <c r="BF960" t="s">
        <v>3142</v>
      </c>
      <c r="BG960" t="s">
        <v>98</v>
      </c>
      <c r="BH960" t="s">
        <v>98</v>
      </c>
      <c r="BI960" t="s">
        <v>98</v>
      </c>
      <c r="BK960" t="s">
        <v>138</v>
      </c>
      <c r="BU960">
        <v>6</v>
      </c>
      <c r="BW960">
        <v>0.75</v>
      </c>
      <c r="BX960" t="s">
        <v>3139</v>
      </c>
      <c r="BZ960" t="s">
        <v>306</v>
      </c>
      <c r="CA960" t="s">
        <v>3136</v>
      </c>
      <c r="CB960" t="s">
        <v>306</v>
      </c>
      <c r="CE960">
        <v>52</v>
      </c>
      <c r="CF960">
        <v>5816</v>
      </c>
      <c r="CL960" t="s">
        <v>98</v>
      </c>
      <c r="CM960" t="s">
        <v>291</v>
      </c>
      <c r="CN960" t="s">
        <v>3140</v>
      </c>
      <c r="CO960" s="1">
        <v>42748</v>
      </c>
      <c r="CP960" s="1">
        <v>43595</v>
      </c>
    </row>
    <row r="961" spans="1:94" x14ac:dyDescent="0.25">
      <c r="A961" s="4" t="s">
        <v>3143</v>
      </c>
      <c r="B961" t="str">
        <f xml:space="preserve"> "" &amp; 706411042652</f>
        <v>706411042652</v>
      </c>
      <c r="C961" t="s">
        <v>2178</v>
      </c>
      <c r="D961" t="s">
        <v>3144</v>
      </c>
      <c r="E961" t="s">
        <v>3145</v>
      </c>
      <c r="F961" t="s">
        <v>2113</v>
      </c>
      <c r="G961">
        <v>1</v>
      </c>
      <c r="H961">
        <v>1</v>
      </c>
      <c r="I961" t="s">
        <v>97</v>
      </c>
      <c r="J961" s="32">
        <v>159.94999999999999</v>
      </c>
      <c r="K961" s="32">
        <v>479.85</v>
      </c>
      <c r="L961">
        <v>0</v>
      </c>
      <c r="N961">
        <v>0</v>
      </c>
      <c r="Q961" t="s">
        <v>291</v>
      </c>
      <c r="R961" s="32">
        <v>319.95</v>
      </c>
      <c r="S961">
        <v>18</v>
      </c>
      <c r="T961">
        <v>52</v>
      </c>
      <c r="U961">
        <v>52</v>
      </c>
      <c r="W961">
        <v>21.23</v>
      </c>
      <c r="X961">
        <v>1</v>
      </c>
      <c r="Y961">
        <v>13.38</v>
      </c>
      <c r="Z961">
        <v>25.88</v>
      </c>
      <c r="AA961">
        <v>10.75</v>
      </c>
      <c r="AB961">
        <v>2.1539999999999999</v>
      </c>
      <c r="AC961">
        <v>24.93</v>
      </c>
      <c r="AE961">
        <v>1</v>
      </c>
      <c r="AF961" t="s">
        <v>3081</v>
      </c>
      <c r="AG961">
        <v>75</v>
      </c>
      <c r="AK961" t="s">
        <v>291</v>
      </c>
      <c r="AM961" t="s">
        <v>98</v>
      </c>
      <c r="AN961" t="s">
        <v>98</v>
      </c>
      <c r="AO961" t="s">
        <v>291</v>
      </c>
      <c r="AP961" t="s">
        <v>99</v>
      </c>
      <c r="AQ961" t="s">
        <v>102</v>
      </c>
      <c r="AV961" t="s">
        <v>98</v>
      </c>
      <c r="AX961" t="s">
        <v>205</v>
      </c>
      <c r="AZ961" t="s">
        <v>2180</v>
      </c>
      <c r="BB961" t="s">
        <v>106</v>
      </c>
      <c r="BC961" t="s">
        <v>2152</v>
      </c>
      <c r="BF961" t="s">
        <v>3146</v>
      </c>
      <c r="BG961" t="s">
        <v>98</v>
      </c>
      <c r="BH961" t="s">
        <v>98</v>
      </c>
      <c r="BI961" t="s">
        <v>98</v>
      </c>
      <c r="BJ961" t="s">
        <v>291</v>
      </c>
      <c r="BK961" t="s">
        <v>292</v>
      </c>
      <c r="BU961">
        <v>6</v>
      </c>
      <c r="BW961">
        <v>0.75</v>
      </c>
      <c r="BX961">
        <v>12</v>
      </c>
      <c r="BY961" t="s">
        <v>291</v>
      </c>
      <c r="BZ961" t="s">
        <v>441</v>
      </c>
      <c r="CA961" t="s">
        <v>3147</v>
      </c>
      <c r="CB961" t="s">
        <v>205</v>
      </c>
      <c r="CC961">
        <v>164</v>
      </c>
      <c r="CD961">
        <v>0.42599999999999999</v>
      </c>
      <c r="CE961">
        <v>51.23</v>
      </c>
      <c r="CF961">
        <v>4648</v>
      </c>
      <c r="CL961" t="s">
        <v>291</v>
      </c>
      <c r="CM961" t="s">
        <v>291</v>
      </c>
      <c r="CN961" t="s">
        <v>2972</v>
      </c>
      <c r="CO961" s="1">
        <v>41044</v>
      </c>
      <c r="CP961" s="1">
        <v>43595</v>
      </c>
    </row>
    <row r="962" spans="1:94" x14ac:dyDescent="0.25">
      <c r="A962" s="4" t="s">
        <v>3148</v>
      </c>
      <c r="B962" t="str">
        <f xml:space="preserve"> "" &amp; 706411052392</f>
        <v>706411052392</v>
      </c>
      <c r="C962" t="s">
        <v>2382</v>
      </c>
      <c r="D962" t="s">
        <v>3144</v>
      </c>
      <c r="E962" t="s">
        <v>3145</v>
      </c>
      <c r="F962" t="s">
        <v>2113</v>
      </c>
      <c r="G962">
        <v>1</v>
      </c>
      <c r="H962">
        <v>1</v>
      </c>
      <c r="I962" t="s">
        <v>97</v>
      </c>
      <c r="J962" s="32">
        <v>159.94999999999999</v>
      </c>
      <c r="K962" s="32">
        <v>479.85</v>
      </c>
      <c r="L962">
        <v>0</v>
      </c>
      <c r="N962">
        <v>0</v>
      </c>
      <c r="Q962" t="s">
        <v>291</v>
      </c>
      <c r="R962" s="32">
        <v>319.95</v>
      </c>
      <c r="S962">
        <v>18</v>
      </c>
      <c r="T962">
        <v>52</v>
      </c>
      <c r="U962">
        <v>52</v>
      </c>
      <c r="W962">
        <v>21.23</v>
      </c>
      <c r="X962">
        <v>1</v>
      </c>
      <c r="Y962">
        <v>13.38</v>
      </c>
      <c r="Z962">
        <v>25.88</v>
      </c>
      <c r="AA962">
        <v>10.75</v>
      </c>
      <c r="AB962">
        <v>2.1539999999999999</v>
      </c>
      <c r="AC962">
        <v>24.93</v>
      </c>
      <c r="AE962">
        <v>1</v>
      </c>
      <c r="AF962" t="s">
        <v>3149</v>
      </c>
      <c r="AG962">
        <v>75</v>
      </c>
      <c r="AK962" t="s">
        <v>291</v>
      </c>
      <c r="AM962" t="s">
        <v>98</v>
      </c>
      <c r="AN962" t="s">
        <v>98</v>
      </c>
      <c r="AO962" t="s">
        <v>291</v>
      </c>
      <c r="AP962" t="s">
        <v>99</v>
      </c>
      <c r="AQ962" t="s">
        <v>102</v>
      </c>
      <c r="AV962" t="s">
        <v>98</v>
      </c>
      <c r="AX962" t="s">
        <v>245</v>
      </c>
      <c r="AZ962" t="s">
        <v>2180</v>
      </c>
      <c r="BB962" t="s">
        <v>106</v>
      </c>
      <c r="BC962" t="s">
        <v>3150</v>
      </c>
      <c r="BF962" t="s">
        <v>3151</v>
      </c>
      <c r="BG962" t="s">
        <v>98</v>
      </c>
      <c r="BH962" t="s">
        <v>98</v>
      </c>
      <c r="BI962" t="s">
        <v>98</v>
      </c>
      <c r="BJ962" t="s">
        <v>291</v>
      </c>
      <c r="BK962" t="s">
        <v>292</v>
      </c>
      <c r="BU962">
        <v>6</v>
      </c>
      <c r="BW962">
        <v>0.75</v>
      </c>
      <c r="BX962" t="s">
        <v>2121</v>
      </c>
      <c r="BY962" t="s">
        <v>291</v>
      </c>
      <c r="BZ962" t="s">
        <v>2332</v>
      </c>
      <c r="CA962" t="s">
        <v>3147</v>
      </c>
      <c r="CB962" t="s">
        <v>245</v>
      </c>
      <c r="CC962">
        <v>164</v>
      </c>
      <c r="CD962">
        <v>0.42599999999999999</v>
      </c>
      <c r="CE962">
        <v>51.23</v>
      </c>
      <c r="CF962">
        <v>4648</v>
      </c>
      <c r="CL962" t="s">
        <v>291</v>
      </c>
      <c r="CM962" t="s">
        <v>291</v>
      </c>
      <c r="CN962" t="s">
        <v>2972</v>
      </c>
      <c r="CO962" s="1">
        <v>41984</v>
      </c>
      <c r="CP962" s="1">
        <v>43595</v>
      </c>
    </row>
    <row r="963" spans="1:94" x14ac:dyDescent="0.25">
      <c r="A963" s="4" t="s">
        <v>3152</v>
      </c>
      <c r="B963" t="str">
        <f xml:space="preserve"> "" &amp; 706411042645</f>
        <v>706411042645</v>
      </c>
      <c r="C963" t="s">
        <v>2382</v>
      </c>
      <c r="D963" t="s">
        <v>3144</v>
      </c>
      <c r="E963" t="s">
        <v>3145</v>
      </c>
      <c r="F963" t="s">
        <v>2113</v>
      </c>
      <c r="G963">
        <v>1</v>
      </c>
      <c r="H963">
        <v>1</v>
      </c>
      <c r="I963" t="s">
        <v>97</v>
      </c>
      <c r="J963" s="32">
        <v>159.94999999999999</v>
      </c>
      <c r="K963" s="32">
        <v>479.85</v>
      </c>
      <c r="L963">
        <v>0</v>
      </c>
      <c r="N963">
        <v>0</v>
      </c>
      <c r="Q963" t="s">
        <v>291</v>
      </c>
      <c r="R963" s="32">
        <v>319.95</v>
      </c>
      <c r="S963">
        <v>18</v>
      </c>
      <c r="T963">
        <v>52</v>
      </c>
      <c r="U963">
        <v>52</v>
      </c>
      <c r="W963">
        <v>21.23</v>
      </c>
      <c r="X963">
        <v>1</v>
      </c>
      <c r="Y963">
        <v>13.38</v>
      </c>
      <c r="Z963">
        <v>25.88</v>
      </c>
      <c r="AA963">
        <v>10.75</v>
      </c>
      <c r="AB963">
        <v>2.1539999999999999</v>
      </c>
      <c r="AC963">
        <v>24.93</v>
      </c>
      <c r="AE963">
        <v>1</v>
      </c>
      <c r="AF963" t="s">
        <v>3153</v>
      </c>
      <c r="AG963">
        <v>75</v>
      </c>
      <c r="AK963" t="s">
        <v>291</v>
      </c>
      <c r="AM963" t="s">
        <v>98</v>
      </c>
      <c r="AN963" t="s">
        <v>98</v>
      </c>
      <c r="AO963" t="s">
        <v>291</v>
      </c>
      <c r="AP963" t="s">
        <v>99</v>
      </c>
      <c r="AQ963" t="s">
        <v>102</v>
      </c>
      <c r="AV963" t="s">
        <v>98</v>
      </c>
      <c r="AX963" t="s">
        <v>269</v>
      </c>
      <c r="AZ963" t="s">
        <v>2180</v>
      </c>
      <c r="BB963" t="s">
        <v>106</v>
      </c>
      <c r="BC963" t="s">
        <v>2152</v>
      </c>
      <c r="BF963" t="s">
        <v>3154</v>
      </c>
      <c r="BG963" t="s">
        <v>98</v>
      </c>
      <c r="BH963" t="s">
        <v>98</v>
      </c>
      <c r="BI963" t="s">
        <v>98</v>
      </c>
      <c r="BJ963" t="s">
        <v>291</v>
      </c>
      <c r="BK963" t="s">
        <v>292</v>
      </c>
      <c r="BU963">
        <v>6</v>
      </c>
      <c r="BW963">
        <v>0.75</v>
      </c>
      <c r="BX963" t="s">
        <v>2121</v>
      </c>
      <c r="BY963" t="s">
        <v>291</v>
      </c>
      <c r="BZ963" t="s">
        <v>269</v>
      </c>
      <c r="CA963" t="s">
        <v>3147</v>
      </c>
      <c r="CB963" t="s">
        <v>269</v>
      </c>
      <c r="CC963">
        <v>164</v>
      </c>
      <c r="CD963">
        <v>0.42599999999999999</v>
      </c>
      <c r="CE963">
        <v>51.23</v>
      </c>
      <c r="CF963">
        <v>4648</v>
      </c>
      <c r="CL963" t="s">
        <v>291</v>
      </c>
      <c r="CM963" t="s">
        <v>291</v>
      </c>
      <c r="CN963" t="s">
        <v>2972</v>
      </c>
      <c r="CO963" s="1">
        <v>41046</v>
      </c>
      <c r="CP963" s="1">
        <v>43595</v>
      </c>
    </row>
    <row r="964" spans="1:94" x14ac:dyDescent="0.25">
      <c r="A964" s="4" t="s">
        <v>3155</v>
      </c>
      <c r="B964" t="str">
        <f xml:space="preserve"> "" &amp; 706411058998</f>
        <v>706411058998</v>
      </c>
      <c r="C964" t="s">
        <v>2439</v>
      </c>
      <c r="D964" t="s">
        <v>3156</v>
      </c>
      <c r="E964" t="s">
        <v>3157</v>
      </c>
      <c r="F964" t="s">
        <v>2113</v>
      </c>
      <c r="G964">
        <v>1</v>
      </c>
      <c r="H964">
        <v>1</v>
      </c>
      <c r="I964" t="s">
        <v>97</v>
      </c>
      <c r="J964" s="32">
        <v>249.95</v>
      </c>
      <c r="K964" s="32">
        <v>749.85</v>
      </c>
      <c r="L964">
        <v>0</v>
      </c>
      <c r="N964">
        <v>0</v>
      </c>
      <c r="Q964" t="s">
        <v>291</v>
      </c>
      <c r="R964" s="32">
        <v>499.95</v>
      </c>
      <c r="S964">
        <v>16.5</v>
      </c>
      <c r="T964">
        <v>54</v>
      </c>
      <c r="U964">
        <v>54</v>
      </c>
      <c r="W964">
        <v>14.55</v>
      </c>
      <c r="X964">
        <v>1</v>
      </c>
      <c r="Y964">
        <v>9.6300000000000008</v>
      </c>
      <c r="Z964">
        <v>28</v>
      </c>
      <c r="AA964">
        <v>9.1300000000000008</v>
      </c>
      <c r="AB964">
        <v>1.425</v>
      </c>
      <c r="AC964">
        <v>16.53</v>
      </c>
      <c r="AE964">
        <v>1</v>
      </c>
      <c r="AF964" t="s">
        <v>2141</v>
      </c>
      <c r="AG964">
        <v>18</v>
      </c>
      <c r="AK964" t="s">
        <v>291</v>
      </c>
      <c r="AM964" t="s">
        <v>98</v>
      </c>
      <c r="AN964" t="s">
        <v>98</v>
      </c>
      <c r="AO964" t="s">
        <v>291</v>
      </c>
      <c r="AP964" t="s">
        <v>99</v>
      </c>
      <c r="AQ964" t="s">
        <v>102</v>
      </c>
      <c r="AV964" t="s">
        <v>98</v>
      </c>
      <c r="AX964" t="s">
        <v>3158</v>
      </c>
      <c r="AZ964" t="s">
        <v>535</v>
      </c>
      <c r="BB964" t="s">
        <v>106</v>
      </c>
      <c r="BC964" t="s">
        <v>2684</v>
      </c>
      <c r="BF964" t="s">
        <v>3159</v>
      </c>
      <c r="BG964" t="s">
        <v>98</v>
      </c>
      <c r="BH964" t="s">
        <v>98</v>
      </c>
      <c r="BI964" t="s">
        <v>98</v>
      </c>
      <c r="BK964" t="s">
        <v>138</v>
      </c>
      <c r="BU964">
        <v>6</v>
      </c>
      <c r="BW964">
        <v>0.75</v>
      </c>
      <c r="BX964" t="s">
        <v>2206</v>
      </c>
      <c r="BY964" t="s">
        <v>291</v>
      </c>
      <c r="BZ964" t="s">
        <v>2168</v>
      </c>
      <c r="CA964" t="s">
        <v>3160</v>
      </c>
      <c r="CB964" t="s">
        <v>3158</v>
      </c>
      <c r="CC964">
        <v>155</v>
      </c>
      <c r="CD964">
        <v>0.43</v>
      </c>
      <c r="CE964">
        <v>31.21</v>
      </c>
      <c r="CF964">
        <v>7450</v>
      </c>
      <c r="CG964">
        <v>3000</v>
      </c>
      <c r="CH964">
        <v>92</v>
      </c>
      <c r="CI964">
        <v>1101</v>
      </c>
      <c r="CJ964">
        <v>577</v>
      </c>
      <c r="CK964">
        <v>50000</v>
      </c>
      <c r="CL964" t="s">
        <v>291</v>
      </c>
      <c r="CM964" t="s">
        <v>291</v>
      </c>
      <c r="CN964" t="s">
        <v>3161</v>
      </c>
      <c r="CO964" s="1">
        <v>43069</v>
      </c>
      <c r="CP964" s="1">
        <v>43595</v>
      </c>
    </row>
    <row r="965" spans="1:94" x14ac:dyDescent="0.25">
      <c r="A965" s="4" t="s">
        <v>3162</v>
      </c>
      <c r="B965" t="str">
        <f xml:space="preserve"> "" &amp; 706411059001</f>
        <v>706411059001</v>
      </c>
      <c r="C965" t="s">
        <v>2439</v>
      </c>
      <c r="D965" t="s">
        <v>3156</v>
      </c>
      <c r="E965" t="s">
        <v>3157</v>
      </c>
      <c r="F965" t="s">
        <v>2113</v>
      </c>
      <c r="G965">
        <v>1</v>
      </c>
      <c r="H965">
        <v>1</v>
      </c>
      <c r="I965" t="s">
        <v>97</v>
      </c>
      <c r="J965" s="32">
        <v>249.95</v>
      </c>
      <c r="K965" s="32">
        <v>749.85</v>
      </c>
      <c r="L965">
        <v>0</v>
      </c>
      <c r="N965">
        <v>0</v>
      </c>
      <c r="Q965" t="s">
        <v>291</v>
      </c>
      <c r="R965" s="32">
        <v>499.95</v>
      </c>
      <c r="S965">
        <v>16.5</v>
      </c>
      <c r="T965">
        <v>54</v>
      </c>
      <c r="U965">
        <v>54</v>
      </c>
      <c r="W965">
        <v>14.55</v>
      </c>
      <c r="X965">
        <v>1</v>
      </c>
      <c r="Y965">
        <v>9.6300000000000008</v>
      </c>
      <c r="Z965">
        <v>28</v>
      </c>
      <c r="AA965">
        <v>9.1300000000000008</v>
      </c>
      <c r="AB965">
        <v>1.425</v>
      </c>
      <c r="AC965">
        <v>16.53</v>
      </c>
      <c r="AE965">
        <v>1</v>
      </c>
      <c r="AF965" t="s">
        <v>2141</v>
      </c>
      <c r="AG965">
        <v>18</v>
      </c>
      <c r="AK965" t="s">
        <v>291</v>
      </c>
      <c r="AM965" t="s">
        <v>98</v>
      </c>
      <c r="AN965" t="s">
        <v>98</v>
      </c>
      <c r="AO965" t="s">
        <v>291</v>
      </c>
      <c r="AP965" t="s">
        <v>99</v>
      </c>
      <c r="AQ965" t="s">
        <v>102</v>
      </c>
      <c r="AV965" t="s">
        <v>98</v>
      </c>
      <c r="AX965" t="s">
        <v>3163</v>
      </c>
      <c r="AZ965" t="s">
        <v>535</v>
      </c>
      <c r="BB965" t="s">
        <v>106</v>
      </c>
      <c r="BC965" t="s">
        <v>2684</v>
      </c>
      <c r="BF965" t="s">
        <v>3164</v>
      </c>
      <c r="BG965" t="s">
        <v>98</v>
      </c>
      <c r="BH965" t="s">
        <v>98</v>
      </c>
      <c r="BI965" t="s">
        <v>98</v>
      </c>
      <c r="BK965" t="s">
        <v>138</v>
      </c>
      <c r="BU965">
        <v>6</v>
      </c>
      <c r="BW965">
        <v>0.75</v>
      </c>
      <c r="BX965" t="s">
        <v>2206</v>
      </c>
      <c r="BY965" t="s">
        <v>291</v>
      </c>
      <c r="BZ965" t="s">
        <v>306</v>
      </c>
      <c r="CA965" t="s">
        <v>3160</v>
      </c>
      <c r="CB965" t="s">
        <v>3163</v>
      </c>
      <c r="CC965">
        <v>155</v>
      </c>
      <c r="CD965">
        <v>0.43</v>
      </c>
      <c r="CE965">
        <v>31.21</v>
      </c>
      <c r="CF965">
        <v>7450</v>
      </c>
      <c r="CG965">
        <v>3000</v>
      </c>
      <c r="CH965">
        <v>92</v>
      </c>
      <c r="CI965">
        <v>1101</v>
      </c>
      <c r="CJ965">
        <v>577</v>
      </c>
      <c r="CK965">
        <v>50000</v>
      </c>
      <c r="CL965" t="s">
        <v>291</v>
      </c>
      <c r="CM965" t="s">
        <v>291</v>
      </c>
      <c r="CN965" t="s">
        <v>3161</v>
      </c>
      <c r="CO965" s="1">
        <v>43069</v>
      </c>
      <c r="CP965" s="1">
        <v>43595</v>
      </c>
    </row>
    <row r="966" spans="1:94" x14ac:dyDescent="0.25">
      <c r="A966" s="4" t="s">
        <v>3165</v>
      </c>
      <c r="B966" t="str">
        <f xml:space="preserve"> "" &amp; 706411058905</f>
        <v>706411058905</v>
      </c>
      <c r="C966" t="s">
        <v>2439</v>
      </c>
      <c r="D966" t="s">
        <v>3156</v>
      </c>
      <c r="E966" t="s">
        <v>3157</v>
      </c>
      <c r="F966" t="s">
        <v>2113</v>
      </c>
      <c r="G966">
        <v>1</v>
      </c>
      <c r="H966">
        <v>1</v>
      </c>
      <c r="I966" t="s">
        <v>97</v>
      </c>
      <c r="J966" s="32">
        <v>249.95</v>
      </c>
      <c r="K966" s="32">
        <v>749.85</v>
      </c>
      <c r="L966">
        <v>0</v>
      </c>
      <c r="N966">
        <v>0</v>
      </c>
      <c r="Q966" t="s">
        <v>291</v>
      </c>
      <c r="R966" s="32">
        <v>499.95</v>
      </c>
      <c r="S966">
        <v>16.5</v>
      </c>
      <c r="T966">
        <v>54</v>
      </c>
      <c r="U966">
        <v>54</v>
      </c>
      <c r="W966">
        <v>14.55</v>
      </c>
      <c r="X966">
        <v>1</v>
      </c>
      <c r="Y966">
        <v>9.6300000000000008</v>
      </c>
      <c r="Z966">
        <v>28</v>
      </c>
      <c r="AA966">
        <v>9.1300000000000008</v>
      </c>
      <c r="AB966">
        <v>1.425</v>
      </c>
      <c r="AC966">
        <v>16.53</v>
      </c>
      <c r="AE966">
        <v>1</v>
      </c>
      <c r="AF966" t="s">
        <v>2141</v>
      </c>
      <c r="AG966">
        <v>18</v>
      </c>
      <c r="AK966" t="s">
        <v>291</v>
      </c>
      <c r="AM966" t="s">
        <v>98</v>
      </c>
      <c r="AN966" t="s">
        <v>98</v>
      </c>
      <c r="AO966" t="s">
        <v>291</v>
      </c>
      <c r="AP966" t="s">
        <v>99</v>
      </c>
      <c r="AQ966" t="s">
        <v>102</v>
      </c>
      <c r="AV966" t="s">
        <v>98</v>
      </c>
      <c r="AX966" t="s">
        <v>3166</v>
      </c>
      <c r="AZ966" t="s">
        <v>535</v>
      </c>
      <c r="BB966" t="s">
        <v>106</v>
      </c>
      <c r="BC966" t="s">
        <v>2684</v>
      </c>
      <c r="BF966" t="s">
        <v>3167</v>
      </c>
      <c r="BG966" t="s">
        <v>98</v>
      </c>
      <c r="BH966" t="s">
        <v>98</v>
      </c>
      <c r="BI966" t="s">
        <v>98</v>
      </c>
      <c r="BK966" t="s">
        <v>138</v>
      </c>
      <c r="BU966">
        <v>6</v>
      </c>
      <c r="BW966">
        <v>0.75</v>
      </c>
      <c r="BX966" t="s">
        <v>2206</v>
      </c>
      <c r="BY966" t="s">
        <v>291</v>
      </c>
      <c r="BZ966" t="s">
        <v>3168</v>
      </c>
      <c r="CA966" t="s">
        <v>3160</v>
      </c>
      <c r="CB966" t="s">
        <v>3166</v>
      </c>
      <c r="CC966">
        <v>155</v>
      </c>
      <c r="CD966">
        <v>0.43</v>
      </c>
      <c r="CE966">
        <v>31.21</v>
      </c>
      <c r="CF966">
        <v>7450</v>
      </c>
      <c r="CG966">
        <v>3000</v>
      </c>
      <c r="CH966">
        <v>92</v>
      </c>
      <c r="CI966">
        <v>1101</v>
      </c>
      <c r="CJ966">
        <v>577</v>
      </c>
      <c r="CK966">
        <v>50000</v>
      </c>
      <c r="CL966" t="s">
        <v>291</v>
      </c>
      <c r="CM966" t="s">
        <v>291</v>
      </c>
      <c r="CN966" t="s">
        <v>3161</v>
      </c>
      <c r="CO966" s="1">
        <v>43069</v>
      </c>
      <c r="CP966" s="1">
        <v>43595</v>
      </c>
    </row>
    <row r="967" spans="1:94" x14ac:dyDescent="0.25">
      <c r="A967" s="4" t="s">
        <v>3169</v>
      </c>
      <c r="B967" t="str">
        <f xml:space="preserve"> "" &amp; 706411058899</f>
        <v>706411058899</v>
      </c>
      <c r="C967" t="s">
        <v>2439</v>
      </c>
      <c r="D967" t="s">
        <v>3156</v>
      </c>
      <c r="E967" t="s">
        <v>3157</v>
      </c>
      <c r="F967" t="s">
        <v>2113</v>
      </c>
      <c r="G967">
        <v>1</v>
      </c>
      <c r="H967">
        <v>1</v>
      </c>
      <c r="I967" t="s">
        <v>97</v>
      </c>
      <c r="J967" s="32">
        <v>249.95</v>
      </c>
      <c r="K967" s="32">
        <v>749.85</v>
      </c>
      <c r="L967">
        <v>0</v>
      </c>
      <c r="N967">
        <v>0</v>
      </c>
      <c r="Q967" t="s">
        <v>291</v>
      </c>
      <c r="R967" s="32">
        <v>499.95</v>
      </c>
      <c r="S967">
        <v>16.5</v>
      </c>
      <c r="T967">
        <v>54</v>
      </c>
      <c r="U967">
        <v>54</v>
      </c>
      <c r="W967">
        <v>14.55</v>
      </c>
      <c r="X967">
        <v>1</v>
      </c>
      <c r="Y967">
        <v>9.6300000000000008</v>
      </c>
      <c r="Z967">
        <v>28</v>
      </c>
      <c r="AA967">
        <v>9.1300000000000008</v>
      </c>
      <c r="AB967">
        <v>1.425</v>
      </c>
      <c r="AC967">
        <v>16.53</v>
      </c>
      <c r="AE967">
        <v>1</v>
      </c>
      <c r="AF967" t="s">
        <v>2141</v>
      </c>
      <c r="AG967">
        <v>18</v>
      </c>
      <c r="AK967" t="s">
        <v>291</v>
      </c>
      <c r="AM967" t="s">
        <v>98</v>
      </c>
      <c r="AN967" t="s">
        <v>98</v>
      </c>
      <c r="AO967" t="s">
        <v>291</v>
      </c>
      <c r="AP967" t="s">
        <v>99</v>
      </c>
      <c r="AQ967" t="s">
        <v>102</v>
      </c>
      <c r="AV967" t="s">
        <v>98</v>
      </c>
      <c r="AX967" t="s">
        <v>3170</v>
      </c>
      <c r="AZ967" t="s">
        <v>535</v>
      </c>
      <c r="BB967" t="s">
        <v>106</v>
      </c>
      <c r="BC967" t="s">
        <v>2684</v>
      </c>
      <c r="BF967" t="s">
        <v>3171</v>
      </c>
      <c r="BG967" t="s">
        <v>98</v>
      </c>
      <c r="BH967" t="s">
        <v>98</v>
      </c>
      <c r="BI967" t="s">
        <v>98</v>
      </c>
      <c r="BK967" t="s">
        <v>138</v>
      </c>
      <c r="BU967">
        <v>6</v>
      </c>
      <c r="BW967">
        <v>0.75</v>
      </c>
      <c r="BX967" t="s">
        <v>2206</v>
      </c>
      <c r="BY967" t="s">
        <v>291</v>
      </c>
      <c r="BZ967" t="s">
        <v>245</v>
      </c>
      <c r="CA967" t="s">
        <v>3160</v>
      </c>
      <c r="CB967" t="s">
        <v>3170</v>
      </c>
      <c r="CC967">
        <v>155</v>
      </c>
      <c r="CD967">
        <v>0.43</v>
      </c>
      <c r="CE967">
        <v>31.21</v>
      </c>
      <c r="CF967">
        <v>7450</v>
      </c>
      <c r="CG967">
        <v>3000</v>
      </c>
      <c r="CH967">
        <v>92</v>
      </c>
      <c r="CI967">
        <v>1101</v>
      </c>
      <c r="CJ967">
        <v>577</v>
      </c>
      <c r="CK967">
        <v>50000</v>
      </c>
      <c r="CL967" t="s">
        <v>291</v>
      </c>
      <c r="CM967" t="s">
        <v>291</v>
      </c>
      <c r="CN967" t="s">
        <v>3161</v>
      </c>
      <c r="CO967" s="1">
        <v>43069</v>
      </c>
      <c r="CP967" s="1">
        <v>43595</v>
      </c>
    </row>
    <row r="968" spans="1:94" x14ac:dyDescent="0.25">
      <c r="A968" s="4" t="s">
        <v>3172</v>
      </c>
      <c r="B968" t="str">
        <f xml:space="preserve"> "" &amp; 706411774287</f>
        <v>706411774287</v>
      </c>
      <c r="C968" t="s">
        <v>2178</v>
      </c>
      <c r="D968" t="s">
        <v>3173</v>
      </c>
      <c r="E968" t="s">
        <v>3174</v>
      </c>
      <c r="F968" t="s">
        <v>2113</v>
      </c>
      <c r="G968">
        <v>1</v>
      </c>
      <c r="H968">
        <v>1</v>
      </c>
      <c r="I968" t="s">
        <v>97</v>
      </c>
      <c r="J968" s="32">
        <v>229.95</v>
      </c>
      <c r="K968" s="32">
        <v>689.85</v>
      </c>
      <c r="L968">
        <v>0</v>
      </c>
      <c r="N968">
        <v>0</v>
      </c>
      <c r="Q968" t="s">
        <v>291</v>
      </c>
      <c r="R968" s="32">
        <v>459.95</v>
      </c>
      <c r="S968">
        <v>9.75</v>
      </c>
      <c r="T968">
        <v>52</v>
      </c>
      <c r="U968">
        <v>52</v>
      </c>
      <c r="W968">
        <v>14.44</v>
      </c>
      <c r="X968">
        <v>1</v>
      </c>
      <c r="Y968">
        <v>5.75</v>
      </c>
      <c r="Z968">
        <v>25.25</v>
      </c>
      <c r="AA968">
        <v>13.5</v>
      </c>
      <c r="AB968">
        <v>1.1339999999999999</v>
      </c>
      <c r="AC968">
        <v>16.760000000000002</v>
      </c>
      <c r="AK968" t="s">
        <v>98</v>
      </c>
      <c r="AM968" t="s">
        <v>98</v>
      </c>
      <c r="AN968" t="s">
        <v>291</v>
      </c>
      <c r="AO968" t="s">
        <v>98</v>
      </c>
      <c r="AP968" t="s">
        <v>99</v>
      </c>
      <c r="AQ968" t="s">
        <v>102</v>
      </c>
      <c r="AV968" t="s">
        <v>98</v>
      </c>
      <c r="AX968" t="s">
        <v>703</v>
      </c>
      <c r="AZ968" t="s">
        <v>2180</v>
      </c>
      <c r="BF968" t="s">
        <v>3175</v>
      </c>
      <c r="BG968" t="s">
        <v>98</v>
      </c>
      <c r="BH968" t="s">
        <v>98</v>
      </c>
      <c r="BI968" t="s">
        <v>98</v>
      </c>
      <c r="BK968" t="s">
        <v>138</v>
      </c>
      <c r="BU968">
        <v>6</v>
      </c>
      <c r="BW968">
        <v>0.75</v>
      </c>
      <c r="BX968" t="s">
        <v>2206</v>
      </c>
      <c r="BZ968" t="s">
        <v>2387</v>
      </c>
      <c r="CA968" t="s">
        <v>3176</v>
      </c>
      <c r="CB968" t="s">
        <v>703</v>
      </c>
      <c r="CC968">
        <v>178</v>
      </c>
      <c r="CD968">
        <v>0.52</v>
      </c>
      <c r="CE968">
        <v>63</v>
      </c>
      <c r="CF968">
        <v>3941</v>
      </c>
      <c r="CL968" t="s">
        <v>98</v>
      </c>
      <c r="CM968" t="s">
        <v>291</v>
      </c>
      <c r="CO968" s="1">
        <v>41978</v>
      </c>
      <c r="CP968" s="1">
        <v>43628</v>
      </c>
    </row>
    <row r="969" spans="1:94" x14ac:dyDescent="0.25">
      <c r="A969" s="4" t="s">
        <v>3177</v>
      </c>
      <c r="B969" t="str">
        <f xml:space="preserve"> "" &amp; 706411054013</f>
        <v>706411054013</v>
      </c>
      <c r="C969" t="s">
        <v>2382</v>
      </c>
      <c r="D969" t="s">
        <v>3173</v>
      </c>
      <c r="E969" t="s">
        <v>3174</v>
      </c>
      <c r="F969" t="s">
        <v>2113</v>
      </c>
      <c r="G969">
        <v>1</v>
      </c>
      <c r="H969">
        <v>1</v>
      </c>
      <c r="I969" t="s">
        <v>97</v>
      </c>
      <c r="J969" s="32">
        <v>229.95</v>
      </c>
      <c r="K969" s="32">
        <v>689.85</v>
      </c>
      <c r="L969">
        <v>0</v>
      </c>
      <c r="N969">
        <v>0</v>
      </c>
      <c r="Q969" t="s">
        <v>291</v>
      </c>
      <c r="R969" s="32">
        <v>459.95</v>
      </c>
      <c r="S969">
        <v>9.75</v>
      </c>
      <c r="T969">
        <v>52</v>
      </c>
      <c r="U969">
        <v>52</v>
      </c>
      <c r="W969">
        <v>14.44</v>
      </c>
      <c r="X969">
        <v>1</v>
      </c>
      <c r="Y969">
        <v>5.75</v>
      </c>
      <c r="Z969">
        <v>25.25</v>
      </c>
      <c r="AA969">
        <v>13.5</v>
      </c>
      <c r="AB969">
        <v>1.1339999999999999</v>
      </c>
      <c r="AC969">
        <v>16.760000000000002</v>
      </c>
      <c r="AK969" t="s">
        <v>98</v>
      </c>
      <c r="AM969" t="s">
        <v>98</v>
      </c>
      <c r="AN969" t="s">
        <v>291</v>
      </c>
      <c r="AO969" t="s">
        <v>98</v>
      </c>
      <c r="AP969" t="s">
        <v>99</v>
      </c>
      <c r="AQ969" t="s">
        <v>102</v>
      </c>
      <c r="AV969" t="s">
        <v>98</v>
      </c>
      <c r="AX969" t="s">
        <v>441</v>
      </c>
      <c r="AZ969" t="s">
        <v>2149</v>
      </c>
      <c r="BF969" t="s">
        <v>3178</v>
      </c>
      <c r="BG969" t="s">
        <v>98</v>
      </c>
      <c r="BH969" t="s">
        <v>98</v>
      </c>
      <c r="BI969" t="s">
        <v>98</v>
      </c>
      <c r="BK969" t="s">
        <v>138</v>
      </c>
      <c r="BU969">
        <v>6</v>
      </c>
      <c r="BW969">
        <v>0.75</v>
      </c>
      <c r="BX969" t="s">
        <v>2206</v>
      </c>
      <c r="BZ969" t="s">
        <v>441</v>
      </c>
      <c r="CA969" t="s">
        <v>3176</v>
      </c>
      <c r="CB969" t="s">
        <v>441</v>
      </c>
      <c r="CC969">
        <v>178</v>
      </c>
      <c r="CD969">
        <v>0.52</v>
      </c>
      <c r="CE969">
        <v>63</v>
      </c>
      <c r="CF969">
        <v>3491</v>
      </c>
      <c r="CL969" t="s">
        <v>98</v>
      </c>
      <c r="CM969" t="s">
        <v>291</v>
      </c>
      <c r="CN969" t="s">
        <v>553</v>
      </c>
      <c r="CO969" s="1">
        <v>42403</v>
      </c>
      <c r="CP969" s="1">
        <v>43628</v>
      </c>
    </row>
    <row r="970" spans="1:94" x14ac:dyDescent="0.25">
      <c r="A970" s="4" t="s">
        <v>3179</v>
      </c>
      <c r="B970" t="str">
        <f xml:space="preserve"> "" &amp; 706411045493</f>
        <v>706411045493</v>
      </c>
      <c r="C970" t="s">
        <v>2178</v>
      </c>
      <c r="D970" t="s">
        <v>3173</v>
      </c>
      <c r="E970" t="s">
        <v>3174</v>
      </c>
      <c r="F970" t="s">
        <v>2113</v>
      </c>
      <c r="G970">
        <v>1</v>
      </c>
      <c r="H970">
        <v>1</v>
      </c>
      <c r="I970" t="s">
        <v>97</v>
      </c>
      <c r="J970" s="32">
        <v>229.95</v>
      </c>
      <c r="K970" s="32">
        <v>689.85</v>
      </c>
      <c r="L970">
        <v>0</v>
      </c>
      <c r="N970">
        <v>0</v>
      </c>
      <c r="Q970" t="s">
        <v>291</v>
      </c>
      <c r="R970" s="32">
        <v>459.95</v>
      </c>
      <c r="S970">
        <v>9.75</v>
      </c>
      <c r="T970">
        <v>52</v>
      </c>
      <c r="U970">
        <v>52</v>
      </c>
      <c r="W970">
        <v>14.44</v>
      </c>
      <c r="X970">
        <v>1</v>
      </c>
      <c r="Y970">
        <v>5.75</v>
      </c>
      <c r="Z970">
        <v>25.25</v>
      </c>
      <c r="AA970">
        <v>13.57</v>
      </c>
      <c r="AB970">
        <v>1.1399999999999999</v>
      </c>
      <c r="AC970">
        <v>16.760000000000002</v>
      </c>
      <c r="AK970" t="s">
        <v>98</v>
      </c>
      <c r="AM970" t="s">
        <v>98</v>
      </c>
      <c r="AN970" t="s">
        <v>291</v>
      </c>
      <c r="AO970" t="s">
        <v>98</v>
      </c>
      <c r="AP970" t="s">
        <v>99</v>
      </c>
      <c r="AQ970" t="s">
        <v>102</v>
      </c>
      <c r="AV970" t="s">
        <v>98</v>
      </c>
      <c r="AX970" t="s">
        <v>306</v>
      </c>
      <c r="AZ970" t="s">
        <v>2180</v>
      </c>
      <c r="BF970" t="s">
        <v>3180</v>
      </c>
      <c r="BG970" t="s">
        <v>98</v>
      </c>
      <c r="BH970" t="s">
        <v>98</v>
      </c>
      <c r="BI970" t="s">
        <v>98</v>
      </c>
      <c r="BK970" t="s">
        <v>138</v>
      </c>
      <c r="BU970">
        <v>6</v>
      </c>
      <c r="BW970">
        <v>0.75</v>
      </c>
      <c r="BX970">
        <v>14</v>
      </c>
      <c r="BZ970" t="s">
        <v>2374</v>
      </c>
      <c r="CA970" t="s">
        <v>3176</v>
      </c>
      <c r="CB970" t="s">
        <v>306</v>
      </c>
      <c r="CC970">
        <v>178</v>
      </c>
      <c r="CD970">
        <v>0.52</v>
      </c>
      <c r="CE970">
        <v>63</v>
      </c>
      <c r="CF970">
        <v>3941</v>
      </c>
      <c r="CL970" t="s">
        <v>98</v>
      </c>
      <c r="CM970" t="s">
        <v>291</v>
      </c>
      <c r="CN970" t="s">
        <v>2189</v>
      </c>
      <c r="CO970" s="1">
        <v>41758</v>
      </c>
      <c r="CP970" s="1">
        <v>43595</v>
      </c>
    </row>
    <row r="971" spans="1:94" x14ac:dyDescent="0.25">
      <c r="A971" s="4" t="s">
        <v>3181</v>
      </c>
      <c r="B971" t="str">
        <f xml:space="preserve"> "" &amp; 706411774539</f>
        <v>706411774539</v>
      </c>
      <c r="C971" t="s">
        <v>3182</v>
      </c>
      <c r="D971" t="s">
        <v>3183</v>
      </c>
      <c r="E971" t="s">
        <v>3184</v>
      </c>
      <c r="F971" t="s">
        <v>2113</v>
      </c>
      <c r="G971">
        <v>1</v>
      </c>
      <c r="H971">
        <v>1</v>
      </c>
      <c r="I971" t="s">
        <v>97</v>
      </c>
      <c r="J971" s="32">
        <v>299.95</v>
      </c>
      <c r="K971" s="32">
        <v>899.85</v>
      </c>
      <c r="L971">
        <v>0</v>
      </c>
      <c r="N971">
        <v>0</v>
      </c>
      <c r="Q971" t="s">
        <v>291</v>
      </c>
      <c r="R971" s="32">
        <v>599.95000000000005</v>
      </c>
      <c r="S971">
        <v>11</v>
      </c>
      <c r="T971">
        <v>62</v>
      </c>
      <c r="U971">
        <v>62</v>
      </c>
      <c r="W971">
        <v>19.84</v>
      </c>
      <c r="X971">
        <v>1</v>
      </c>
      <c r="Y971">
        <v>7.5</v>
      </c>
      <c r="Z971">
        <v>29.5</v>
      </c>
      <c r="AA971">
        <v>15</v>
      </c>
      <c r="AB971">
        <v>1.921</v>
      </c>
      <c r="AC971">
        <v>23.15</v>
      </c>
      <c r="AE971">
        <v>1</v>
      </c>
      <c r="AF971" t="s">
        <v>2141</v>
      </c>
      <c r="AG971">
        <v>20</v>
      </c>
      <c r="AK971" t="s">
        <v>291</v>
      </c>
      <c r="AM971" t="s">
        <v>98</v>
      </c>
      <c r="AN971" t="s">
        <v>291</v>
      </c>
      <c r="AO971" t="s">
        <v>98</v>
      </c>
      <c r="AP971" t="s">
        <v>99</v>
      </c>
      <c r="AQ971" t="s">
        <v>102</v>
      </c>
      <c r="AV971" t="s">
        <v>98</v>
      </c>
      <c r="AX971" t="s">
        <v>150</v>
      </c>
      <c r="AZ971" t="s">
        <v>535</v>
      </c>
      <c r="BB971" t="s">
        <v>3185</v>
      </c>
      <c r="BC971" t="s">
        <v>302</v>
      </c>
      <c r="BF971" t="s">
        <v>3186</v>
      </c>
      <c r="BG971" t="s">
        <v>98</v>
      </c>
      <c r="BH971" t="s">
        <v>98</v>
      </c>
      <c r="BI971" t="s">
        <v>98</v>
      </c>
      <c r="BK971" t="s">
        <v>138</v>
      </c>
      <c r="BU971">
        <v>6</v>
      </c>
      <c r="BW971">
        <v>0.75</v>
      </c>
      <c r="BX971" t="s">
        <v>2218</v>
      </c>
      <c r="BY971" t="s">
        <v>291</v>
      </c>
      <c r="BZ971" t="s">
        <v>441</v>
      </c>
      <c r="CA971" t="s">
        <v>3187</v>
      </c>
      <c r="CB971" t="s">
        <v>150</v>
      </c>
      <c r="CC971">
        <v>145</v>
      </c>
      <c r="CD971">
        <v>0.27</v>
      </c>
      <c r="CE971">
        <v>19.02</v>
      </c>
      <c r="CF971">
        <v>6723</v>
      </c>
      <c r="CG971">
        <v>3000</v>
      </c>
      <c r="CH971">
        <v>84</v>
      </c>
      <c r="CI971">
        <v>1397</v>
      </c>
      <c r="CJ971">
        <v>1120</v>
      </c>
      <c r="CK971">
        <v>30000</v>
      </c>
      <c r="CL971" t="s">
        <v>291</v>
      </c>
      <c r="CM971" t="s">
        <v>291</v>
      </c>
      <c r="CN971" t="s">
        <v>2208</v>
      </c>
      <c r="CO971" s="1">
        <v>42738</v>
      </c>
      <c r="CP971" s="1">
        <v>43619</v>
      </c>
    </row>
    <row r="972" spans="1:94" x14ac:dyDescent="0.25">
      <c r="A972" s="4" t="s">
        <v>3188</v>
      </c>
      <c r="B972" t="str">
        <f xml:space="preserve"> "" &amp; 706411774546</f>
        <v>706411774546</v>
      </c>
      <c r="C972" t="s">
        <v>3182</v>
      </c>
      <c r="D972" t="s">
        <v>3183</v>
      </c>
      <c r="E972" t="s">
        <v>3184</v>
      </c>
      <c r="F972" t="s">
        <v>2113</v>
      </c>
      <c r="G972">
        <v>1</v>
      </c>
      <c r="H972">
        <v>1</v>
      </c>
      <c r="I972" t="s">
        <v>97</v>
      </c>
      <c r="J972" s="32">
        <v>299.95</v>
      </c>
      <c r="K972" s="32">
        <v>899.85</v>
      </c>
      <c r="L972">
        <v>0</v>
      </c>
      <c r="N972">
        <v>0</v>
      </c>
      <c r="Q972" t="s">
        <v>291</v>
      </c>
      <c r="R972" s="32">
        <v>599.95000000000005</v>
      </c>
      <c r="S972">
        <v>11</v>
      </c>
      <c r="T972">
        <v>62</v>
      </c>
      <c r="U972">
        <v>62</v>
      </c>
      <c r="W972">
        <v>19.8</v>
      </c>
      <c r="X972">
        <v>1</v>
      </c>
      <c r="Y972">
        <v>7.5</v>
      </c>
      <c r="Z972">
        <v>29.5</v>
      </c>
      <c r="AA972">
        <v>15</v>
      </c>
      <c r="AB972">
        <v>1.921</v>
      </c>
      <c r="AC972">
        <v>23.15</v>
      </c>
      <c r="AE972">
        <v>1</v>
      </c>
      <c r="AF972" t="s">
        <v>2141</v>
      </c>
      <c r="AG972">
        <v>20</v>
      </c>
      <c r="AK972" t="s">
        <v>291</v>
      </c>
      <c r="AM972" t="s">
        <v>98</v>
      </c>
      <c r="AN972" t="s">
        <v>291</v>
      </c>
      <c r="AO972" t="s">
        <v>98</v>
      </c>
      <c r="AP972" t="s">
        <v>99</v>
      </c>
      <c r="AQ972" t="s">
        <v>102</v>
      </c>
      <c r="AV972" t="s">
        <v>98</v>
      </c>
      <c r="AX972" t="s">
        <v>703</v>
      </c>
      <c r="AZ972" t="s">
        <v>535</v>
      </c>
      <c r="BB972" t="s">
        <v>3185</v>
      </c>
      <c r="BC972" t="s">
        <v>3189</v>
      </c>
      <c r="BF972" t="s">
        <v>3190</v>
      </c>
      <c r="BG972" t="s">
        <v>98</v>
      </c>
      <c r="BH972" t="s">
        <v>98</v>
      </c>
      <c r="BI972" t="s">
        <v>98</v>
      </c>
      <c r="BK972" t="s">
        <v>138</v>
      </c>
      <c r="BU972">
        <v>6</v>
      </c>
      <c r="BW972">
        <v>0.75</v>
      </c>
      <c r="BX972" t="s">
        <v>3191</v>
      </c>
      <c r="BY972" t="s">
        <v>291</v>
      </c>
      <c r="BZ972" t="s">
        <v>703</v>
      </c>
      <c r="CA972" t="s">
        <v>3187</v>
      </c>
      <c r="CB972" t="s">
        <v>703</v>
      </c>
      <c r="CC972">
        <v>145</v>
      </c>
      <c r="CD972">
        <v>0.27</v>
      </c>
      <c r="CE972">
        <v>19.02</v>
      </c>
      <c r="CF972">
        <v>6723</v>
      </c>
      <c r="CG972">
        <v>3000</v>
      </c>
      <c r="CH972">
        <v>84</v>
      </c>
      <c r="CI972">
        <v>1397</v>
      </c>
      <c r="CJ972">
        <v>1120</v>
      </c>
      <c r="CK972">
        <v>30000</v>
      </c>
      <c r="CL972" t="s">
        <v>291</v>
      </c>
      <c r="CM972" t="s">
        <v>291</v>
      </c>
      <c r="CN972" t="s">
        <v>2208</v>
      </c>
      <c r="CO972" s="1">
        <v>42747</v>
      </c>
      <c r="CP972" s="1">
        <v>43619</v>
      </c>
    </row>
    <row r="973" spans="1:94" x14ac:dyDescent="0.25">
      <c r="A973" s="4" t="s">
        <v>3192</v>
      </c>
      <c r="B973" t="str">
        <f xml:space="preserve"> "" &amp; 706411774553</f>
        <v>706411774553</v>
      </c>
      <c r="C973" t="s">
        <v>3182</v>
      </c>
      <c r="D973" t="s">
        <v>3183</v>
      </c>
      <c r="E973" t="s">
        <v>3184</v>
      </c>
      <c r="F973" t="s">
        <v>2113</v>
      </c>
      <c r="G973">
        <v>1</v>
      </c>
      <c r="H973">
        <v>1</v>
      </c>
      <c r="I973" t="s">
        <v>97</v>
      </c>
      <c r="J973" s="32">
        <v>299.95</v>
      </c>
      <c r="K973" s="32">
        <v>899.85</v>
      </c>
      <c r="L973">
        <v>0</v>
      </c>
      <c r="N973">
        <v>0</v>
      </c>
      <c r="Q973" t="s">
        <v>291</v>
      </c>
      <c r="R973" s="32">
        <v>599.95000000000005</v>
      </c>
      <c r="S973">
        <v>11</v>
      </c>
      <c r="T973">
        <v>62</v>
      </c>
      <c r="U973">
        <v>62</v>
      </c>
      <c r="W973">
        <v>19.84</v>
      </c>
      <c r="X973">
        <v>1</v>
      </c>
      <c r="Y973">
        <v>7.5</v>
      </c>
      <c r="Z973">
        <v>29.5</v>
      </c>
      <c r="AA973">
        <v>15</v>
      </c>
      <c r="AB973">
        <v>1.921</v>
      </c>
      <c r="AC973">
        <v>23.15</v>
      </c>
      <c r="AE973">
        <v>1</v>
      </c>
      <c r="AF973" t="s">
        <v>2141</v>
      </c>
      <c r="AG973">
        <v>20</v>
      </c>
      <c r="AK973" t="s">
        <v>291</v>
      </c>
      <c r="AM973" t="s">
        <v>98</v>
      </c>
      <c r="AN973" t="s">
        <v>291</v>
      </c>
      <c r="AO973" t="s">
        <v>98</v>
      </c>
      <c r="AP973" t="s">
        <v>99</v>
      </c>
      <c r="AQ973" t="s">
        <v>102</v>
      </c>
      <c r="AV973" t="s">
        <v>98</v>
      </c>
      <c r="AX973" t="s">
        <v>441</v>
      </c>
      <c r="AZ973" t="s">
        <v>535</v>
      </c>
      <c r="BB973" t="s">
        <v>3185</v>
      </c>
      <c r="BC973" t="s">
        <v>3189</v>
      </c>
      <c r="BF973" t="s">
        <v>3193</v>
      </c>
      <c r="BG973" t="s">
        <v>98</v>
      </c>
      <c r="BH973" t="s">
        <v>98</v>
      </c>
      <c r="BI973" t="s">
        <v>98</v>
      </c>
      <c r="BK973" t="s">
        <v>138</v>
      </c>
      <c r="BU973">
        <v>6</v>
      </c>
      <c r="BW973">
        <v>0.75</v>
      </c>
      <c r="BX973" t="s">
        <v>3194</v>
      </c>
      <c r="BY973" t="s">
        <v>291</v>
      </c>
      <c r="BZ973" t="s">
        <v>441</v>
      </c>
      <c r="CA973" t="s">
        <v>3187</v>
      </c>
      <c r="CB973" t="s">
        <v>441</v>
      </c>
      <c r="CC973">
        <v>145</v>
      </c>
      <c r="CD973">
        <v>0.27</v>
      </c>
      <c r="CE973">
        <v>19.02</v>
      </c>
      <c r="CF973">
        <v>6723</v>
      </c>
      <c r="CG973">
        <v>3000</v>
      </c>
      <c r="CH973">
        <v>84</v>
      </c>
      <c r="CI973">
        <v>1397</v>
      </c>
      <c r="CJ973">
        <v>1120</v>
      </c>
      <c r="CK973">
        <v>30000</v>
      </c>
      <c r="CL973" t="s">
        <v>291</v>
      </c>
      <c r="CM973" t="s">
        <v>291</v>
      </c>
      <c r="CN973" t="s">
        <v>2208</v>
      </c>
      <c r="CO973" s="1">
        <v>42747</v>
      </c>
      <c r="CP973" s="1">
        <v>43619</v>
      </c>
    </row>
    <row r="974" spans="1:94" x14ac:dyDescent="0.25">
      <c r="A974" s="4" t="s">
        <v>3195</v>
      </c>
      <c r="B974" t="str">
        <f xml:space="preserve"> "" &amp; 706411774560</f>
        <v>706411774560</v>
      </c>
      <c r="C974" t="s">
        <v>3182</v>
      </c>
      <c r="D974" t="s">
        <v>3183</v>
      </c>
      <c r="E974" t="s">
        <v>3184</v>
      </c>
      <c r="F974" t="s">
        <v>2113</v>
      </c>
      <c r="G974">
        <v>1</v>
      </c>
      <c r="H974">
        <v>1</v>
      </c>
      <c r="I974" t="s">
        <v>97</v>
      </c>
      <c r="J974" s="32">
        <v>299.95</v>
      </c>
      <c r="K974" s="32">
        <v>899.85</v>
      </c>
      <c r="L974">
        <v>0</v>
      </c>
      <c r="N974">
        <v>0</v>
      </c>
      <c r="Q974" t="s">
        <v>291</v>
      </c>
      <c r="R974" s="32">
        <v>599.95000000000005</v>
      </c>
      <c r="S974">
        <v>11</v>
      </c>
      <c r="T974">
        <v>62</v>
      </c>
      <c r="U974">
        <v>62</v>
      </c>
      <c r="W974">
        <v>19.84</v>
      </c>
      <c r="X974">
        <v>1</v>
      </c>
      <c r="Y974">
        <v>7.5</v>
      </c>
      <c r="Z974">
        <v>29.5</v>
      </c>
      <c r="AA974">
        <v>15</v>
      </c>
      <c r="AB974">
        <v>1.921</v>
      </c>
      <c r="AC974">
        <v>23.15</v>
      </c>
      <c r="AE974">
        <v>1</v>
      </c>
      <c r="AF974" t="s">
        <v>2141</v>
      </c>
      <c r="AG974">
        <v>20</v>
      </c>
      <c r="AK974" t="s">
        <v>291</v>
      </c>
      <c r="AM974" t="s">
        <v>98</v>
      </c>
      <c r="AN974" t="s">
        <v>291</v>
      </c>
      <c r="AO974" t="s">
        <v>98</v>
      </c>
      <c r="AP974" t="s">
        <v>99</v>
      </c>
      <c r="AQ974" t="s">
        <v>102</v>
      </c>
      <c r="AV974" t="s">
        <v>98</v>
      </c>
      <c r="AX974" t="s">
        <v>306</v>
      </c>
      <c r="AZ974" t="s">
        <v>535</v>
      </c>
      <c r="BB974" t="s">
        <v>3185</v>
      </c>
      <c r="BC974" t="s">
        <v>302</v>
      </c>
      <c r="BF974" t="s">
        <v>3196</v>
      </c>
      <c r="BG974" t="s">
        <v>98</v>
      </c>
      <c r="BH974" t="s">
        <v>98</v>
      </c>
      <c r="BI974" t="s">
        <v>98</v>
      </c>
      <c r="BK974" t="s">
        <v>138</v>
      </c>
      <c r="BU974">
        <v>6</v>
      </c>
      <c r="BW974">
        <v>0.75</v>
      </c>
      <c r="BX974" t="s">
        <v>3194</v>
      </c>
      <c r="BY974" t="s">
        <v>291</v>
      </c>
      <c r="BZ974" t="s">
        <v>306</v>
      </c>
      <c r="CA974" t="s">
        <v>3187</v>
      </c>
      <c r="CB974" t="s">
        <v>306</v>
      </c>
      <c r="CC974">
        <v>145</v>
      </c>
      <c r="CD974">
        <v>0.27</v>
      </c>
      <c r="CE974">
        <v>19.02</v>
      </c>
      <c r="CF974">
        <v>6723</v>
      </c>
      <c r="CG974">
        <v>3000</v>
      </c>
      <c r="CH974">
        <v>84</v>
      </c>
      <c r="CI974">
        <v>1397</v>
      </c>
      <c r="CJ974">
        <v>1120</v>
      </c>
      <c r="CK974">
        <v>30000</v>
      </c>
      <c r="CL974" t="s">
        <v>291</v>
      </c>
      <c r="CM974" t="s">
        <v>291</v>
      </c>
      <c r="CN974" t="s">
        <v>2208</v>
      </c>
      <c r="CO974" s="1">
        <v>42738</v>
      </c>
      <c r="CP974" s="1">
        <v>43619</v>
      </c>
    </row>
    <row r="975" spans="1:94" x14ac:dyDescent="0.25">
      <c r="A975" s="4" t="s">
        <v>3197</v>
      </c>
      <c r="B975" t="str">
        <f xml:space="preserve"> "" &amp; 706411052613</f>
        <v>706411052613</v>
      </c>
      <c r="C975" t="s">
        <v>2178</v>
      </c>
      <c r="D975" t="s">
        <v>3198</v>
      </c>
      <c r="E975" t="s">
        <v>3199</v>
      </c>
      <c r="F975" t="s">
        <v>2113</v>
      </c>
      <c r="G975">
        <v>1</v>
      </c>
      <c r="H975">
        <v>1</v>
      </c>
      <c r="I975" t="s">
        <v>97</v>
      </c>
      <c r="J975" s="32">
        <v>159.94999999999999</v>
      </c>
      <c r="K975" s="32">
        <v>479.85</v>
      </c>
      <c r="L975">
        <v>0</v>
      </c>
      <c r="N975">
        <v>0</v>
      </c>
      <c r="Q975" t="s">
        <v>291</v>
      </c>
      <c r="R975" s="32">
        <v>319.95</v>
      </c>
      <c r="S975">
        <v>12</v>
      </c>
      <c r="T975">
        <v>52</v>
      </c>
      <c r="U975">
        <v>52</v>
      </c>
      <c r="W975">
        <v>12.61</v>
      </c>
      <c r="X975">
        <v>1</v>
      </c>
      <c r="Y975">
        <v>7.63</v>
      </c>
      <c r="Z975">
        <v>23.38</v>
      </c>
      <c r="AA975">
        <v>11.38</v>
      </c>
      <c r="AB975">
        <v>1.175</v>
      </c>
      <c r="AC975">
        <v>14.68</v>
      </c>
      <c r="AE975">
        <v>1</v>
      </c>
      <c r="AF975" t="s">
        <v>2141</v>
      </c>
      <c r="AG975">
        <v>17</v>
      </c>
      <c r="AK975" t="s">
        <v>291</v>
      </c>
      <c r="AM975" t="s">
        <v>98</v>
      </c>
      <c r="AN975" t="s">
        <v>291</v>
      </c>
      <c r="AO975" t="s">
        <v>98</v>
      </c>
      <c r="AP975" t="s">
        <v>99</v>
      </c>
      <c r="AQ975" t="s">
        <v>102</v>
      </c>
      <c r="AV975" t="s">
        <v>98</v>
      </c>
      <c r="AX975" t="s">
        <v>150</v>
      </c>
      <c r="AZ975" t="s">
        <v>2180</v>
      </c>
      <c r="BB975" t="s">
        <v>3200</v>
      </c>
      <c r="BC975" t="s">
        <v>3201</v>
      </c>
      <c r="BF975" t="s">
        <v>3202</v>
      </c>
      <c r="BG975" t="s">
        <v>98</v>
      </c>
      <c r="BH975" t="s">
        <v>98</v>
      </c>
      <c r="BI975" t="s">
        <v>98</v>
      </c>
      <c r="BK975" t="s">
        <v>138</v>
      </c>
      <c r="BU975">
        <v>6</v>
      </c>
      <c r="BW975">
        <v>0.75</v>
      </c>
      <c r="BX975" t="s">
        <v>2121</v>
      </c>
      <c r="BY975" t="s">
        <v>291</v>
      </c>
      <c r="BZ975" t="s">
        <v>441</v>
      </c>
      <c r="CA975" t="s">
        <v>3203</v>
      </c>
      <c r="CB975" t="s">
        <v>150</v>
      </c>
      <c r="CC975">
        <v>173</v>
      </c>
      <c r="CD975">
        <v>0.42</v>
      </c>
      <c r="CE975">
        <v>33</v>
      </c>
      <c r="CF975">
        <v>5779</v>
      </c>
      <c r="CG975">
        <v>3000</v>
      </c>
      <c r="CH975">
        <v>82</v>
      </c>
      <c r="CI975">
        <v>1250</v>
      </c>
      <c r="CJ975">
        <v>626</v>
      </c>
      <c r="CK975">
        <v>30000</v>
      </c>
      <c r="CL975" t="s">
        <v>291</v>
      </c>
      <c r="CM975" t="s">
        <v>291</v>
      </c>
      <c r="CN975" t="s">
        <v>3204</v>
      </c>
      <c r="CO975" s="1">
        <v>42219</v>
      </c>
      <c r="CP975" s="1">
        <v>43595</v>
      </c>
    </row>
    <row r="976" spans="1:94" x14ac:dyDescent="0.25">
      <c r="A976" s="4" t="s">
        <v>3205</v>
      </c>
      <c r="B976" t="str">
        <f xml:space="preserve"> "" &amp; 706411052620</f>
        <v>706411052620</v>
      </c>
      <c r="C976" t="s">
        <v>2382</v>
      </c>
      <c r="D976" t="s">
        <v>3198</v>
      </c>
      <c r="E976" t="s">
        <v>3199</v>
      </c>
      <c r="F976" t="s">
        <v>2113</v>
      </c>
      <c r="G976">
        <v>1</v>
      </c>
      <c r="H976">
        <v>1</v>
      </c>
      <c r="I976" t="s">
        <v>97</v>
      </c>
      <c r="J976" s="32">
        <v>159.94999999999999</v>
      </c>
      <c r="K976" s="32">
        <v>479.85</v>
      </c>
      <c r="L976">
        <v>0</v>
      </c>
      <c r="N976">
        <v>0</v>
      </c>
      <c r="Q976" t="s">
        <v>291</v>
      </c>
      <c r="R976" s="32">
        <v>319.95</v>
      </c>
      <c r="S976">
        <v>12</v>
      </c>
      <c r="T976">
        <v>52</v>
      </c>
      <c r="U976">
        <v>52</v>
      </c>
      <c r="W976">
        <v>12.61</v>
      </c>
      <c r="X976">
        <v>1</v>
      </c>
      <c r="Y976">
        <v>7.63</v>
      </c>
      <c r="Z976">
        <v>23.38</v>
      </c>
      <c r="AA976">
        <v>11.38</v>
      </c>
      <c r="AB976">
        <v>1.175</v>
      </c>
      <c r="AC976">
        <v>14.68</v>
      </c>
      <c r="AE976">
        <v>1</v>
      </c>
      <c r="AF976" t="s">
        <v>2141</v>
      </c>
      <c r="AG976">
        <v>17</v>
      </c>
      <c r="AK976" t="s">
        <v>291</v>
      </c>
      <c r="AM976" t="s">
        <v>98</v>
      </c>
      <c r="AN976" t="s">
        <v>291</v>
      </c>
      <c r="AO976" t="s">
        <v>98</v>
      </c>
      <c r="AP976" t="s">
        <v>99</v>
      </c>
      <c r="AQ976" t="s">
        <v>102</v>
      </c>
      <c r="AV976" t="s">
        <v>98</v>
      </c>
      <c r="AX976" t="s">
        <v>703</v>
      </c>
      <c r="AZ976" t="s">
        <v>2180</v>
      </c>
      <c r="BB976" t="s">
        <v>3200</v>
      </c>
      <c r="BC976" t="s">
        <v>2120</v>
      </c>
      <c r="BF976" t="s">
        <v>3206</v>
      </c>
      <c r="BG976" t="s">
        <v>98</v>
      </c>
      <c r="BH976" t="s">
        <v>98</v>
      </c>
      <c r="BI976" t="s">
        <v>98</v>
      </c>
      <c r="BK976" t="s">
        <v>138</v>
      </c>
      <c r="BU976">
        <v>6</v>
      </c>
      <c r="BW976">
        <v>0.75</v>
      </c>
      <c r="BX976" t="s">
        <v>2121</v>
      </c>
      <c r="BY976" t="s">
        <v>291</v>
      </c>
      <c r="BZ976" t="s">
        <v>3207</v>
      </c>
      <c r="CA976" t="s">
        <v>3203</v>
      </c>
      <c r="CB976" t="s">
        <v>703</v>
      </c>
      <c r="CC976">
        <v>173</v>
      </c>
      <c r="CD976">
        <v>0.42</v>
      </c>
      <c r="CE976">
        <v>33</v>
      </c>
      <c r="CF976">
        <v>5779</v>
      </c>
      <c r="CG976">
        <v>3000</v>
      </c>
      <c r="CH976">
        <v>82</v>
      </c>
      <c r="CI976">
        <v>1250</v>
      </c>
      <c r="CJ976">
        <v>626</v>
      </c>
      <c r="CK976">
        <v>25000</v>
      </c>
      <c r="CL976" t="s">
        <v>291</v>
      </c>
      <c r="CM976" t="s">
        <v>291</v>
      </c>
      <c r="CN976" t="s">
        <v>3204</v>
      </c>
      <c r="CO976" s="1">
        <v>42219</v>
      </c>
      <c r="CP976" s="1">
        <v>43595</v>
      </c>
    </row>
    <row r="977" spans="1:94" x14ac:dyDescent="0.25">
      <c r="A977" s="4" t="s">
        <v>3208</v>
      </c>
      <c r="B977" t="str">
        <f xml:space="preserve"> "" &amp; 706411052637</f>
        <v>706411052637</v>
      </c>
      <c r="C977" t="s">
        <v>2382</v>
      </c>
      <c r="D977" t="s">
        <v>3198</v>
      </c>
      <c r="E977" t="s">
        <v>3199</v>
      </c>
      <c r="F977" t="s">
        <v>2113</v>
      </c>
      <c r="G977">
        <v>1</v>
      </c>
      <c r="H977">
        <v>1</v>
      </c>
      <c r="I977" t="s">
        <v>97</v>
      </c>
      <c r="J977" s="32">
        <v>159.94999999999999</v>
      </c>
      <c r="K977" s="32">
        <v>479.85</v>
      </c>
      <c r="L977">
        <v>0</v>
      </c>
      <c r="N977">
        <v>0</v>
      </c>
      <c r="Q977" t="s">
        <v>291</v>
      </c>
      <c r="R977" s="32">
        <v>319.95</v>
      </c>
      <c r="S977">
        <v>12</v>
      </c>
      <c r="T977">
        <v>52</v>
      </c>
      <c r="U977">
        <v>52</v>
      </c>
      <c r="W977">
        <v>12.61</v>
      </c>
      <c r="X977">
        <v>1</v>
      </c>
      <c r="Y977">
        <v>7.63</v>
      </c>
      <c r="Z977">
        <v>23.38</v>
      </c>
      <c r="AA977">
        <v>11.38</v>
      </c>
      <c r="AB977">
        <v>1.175</v>
      </c>
      <c r="AC977">
        <v>14.68</v>
      </c>
      <c r="AE977">
        <v>1</v>
      </c>
      <c r="AF977" t="s">
        <v>2141</v>
      </c>
      <c r="AG977">
        <v>17</v>
      </c>
      <c r="AK977" t="s">
        <v>291</v>
      </c>
      <c r="AM977" t="s">
        <v>98</v>
      </c>
      <c r="AN977" t="s">
        <v>291</v>
      </c>
      <c r="AO977" t="s">
        <v>98</v>
      </c>
      <c r="AP977" t="s">
        <v>99</v>
      </c>
      <c r="AQ977" t="s">
        <v>102</v>
      </c>
      <c r="AV977" t="s">
        <v>98</v>
      </c>
      <c r="AX977" t="s">
        <v>245</v>
      </c>
      <c r="AZ977" t="s">
        <v>2180</v>
      </c>
      <c r="BB977" t="s">
        <v>3200</v>
      </c>
      <c r="BC977" t="s">
        <v>3201</v>
      </c>
      <c r="BF977" t="s">
        <v>3209</v>
      </c>
      <c r="BG977" t="s">
        <v>98</v>
      </c>
      <c r="BH977" t="s">
        <v>98</v>
      </c>
      <c r="BI977" t="s">
        <v>98</v>
      </c>
      <c r="BK977" t="s">
        <v>138</v>
      </c>
      <c r="BU977">
        <v>6</v>
      </c>
      <c r="BW977">
        <v>0.75</v>
      </c>
      <c r="BX977" t="s">
        <v>2121</v>
      </c>
      <c r="BY977" t="s">
        <v>291</v>
      </c>
      <c r="BZ977" t="s">
        <v>3210</v>
      </c>
      <c r="CA977" t="s">
        <v>3203</v>
      </c>
      <c r="CB977" t="s">
        <v>245</v>
      </c>
      <c r="CC977">
        <v>173</v>
      </c>
      <c r="CD977">
        <v>0.42</v>
      </c>
      <c r="CE977">
        <v>33</v>
      </c>
      <c r="CF977">
        <v>5779</v>
      </c>
      <c r="CG977">
        <v>3000</v>
      </c>
      <c r="CH977">
        <v>82</v>
      </c>
      <c r="CI977">
        <v>1250</v>
      </c>
      <c r="CJ977">
        <v>626</v>
      </c>
      <c r="CK977">
        <v>30000</v>
      </c>
      <c r="CL977" t="s">
        <v>291</v>
      </c>
      <c r="CM977" t="s">
        <v>291</v>
      </c>
      <c r="CN977" t="s">
        <v>3204</v>
      </c>
      <c r="CO977" s="1">
        <v>42219</v>
      </c>
      <c r="CP977" s="1">
        <v>43595</v>
      </c>
    </row>
    <row r="978" spans="1:94" x14ac:dyDescent="0.25">
      <c r="A978" t="s">
        <v>4524</v>
      </c>
      <c r="B978" t="str">
        <f xml:space="preserve"> "" &amp; 706411062094</f>
        <v>706411062094</v>
      </c>
      <c r="C978" t="s">
        <v>4523</v>
      </c>
      <c r="D978" t="s">
        <v>4516</v>
      </c>
      <c r="E978" t="s">
        <v>3211</v>
      </c>
      <c r="F978" t="s">
        <v>2113</v>
      </c>
      <c r="G978">
        <v>1</v>
      </c>
      <c r="H978">
        <v>1</v>
      </c>
      <c r="I978" t="s">
        <v>97</v>
      </c>
      <c r="J978" s="32">
        <v>369.95</v>
      </c>
      <c r="K978" s="32">
        <v>1109.8499999999999</v>
      </c>
      <c r="L978">
        <v>0</v>
      </c>
      <c r="N978">
        <v>0</v>
      </c>
      <c r="Q978" t="s">
        <v>291</v>
      </c>
      <c r="R978" s="32">
        <v>739.95</v>
      </c>
      <c r="S978">
        <v>17.239999999999998</v>
      </c>
      <c r="T978">
        <v>68</v>
      </c>
      <c r="U978">
        <v>68</v>
      </c>
      <c r="W978">
        <v>19.29</v>
      </c>
      <c r="X978">
        <v>1</v>
      </c>
      <c r="Y978">
        <v>11.25</v>
      </c>
      <c r="Z978">
        <v>35.880000000000003</v>
      </c>
      <c r="AA978">
        <v>14.5</v>
      </c>
      <c r="AB978">
        <v>3.387</v>
      </c>
      <c r="AC978">
        <v>24.25</v>
      </c>
      <c r="AE978">
        <v>1</v>
      </c>
      <c r="AF978" t="s">
        <v>4515</v>
      </c>
      <c r="AG978">
        <v>26</v>
      </c>
      <c r="AK978" t="s">
        <v>291</v>
      </c>
      <c r="AM978" t="s">
        <v>98</v>
      </c>
      <c r="AN978" t="s">
        <v>291</v>
      </c>
      <c r="AO978" t="s">
        <v>98</v>
      </c>
      <c r="AP978" t="s">
        <v>99</v>
      </c>
      <c r="AQ978" t="s">
        <v>102</v>
      </c>
      <c r="AV978" t="s">
        <v>98</v>
      </c>
      <c r="AX978" t="s">
        <v>150</v>
      </c>
      <c r="AZ978" t="s">
        <v>2149</v>
      </c>
      <c r="BB978" t="s">
        <v>2244</v>
      </c>
      <c r="BF978" t="s">
        <v>4522</v>
      </c>
      <c r="BG978" t="s">
        <v>98</v>
      </c>
      <c r="BH978" t="s">
        <v>98</v>
      </c>
      <c r="BI978" t="s">
        <v>98</v>
      </c>
      <c r="BK978" t="s">
        <v>138</v>
      </c>
      <c r="BU978">
        <v>10</v>
      </c>
      <c r="BX978" t="s">
        <v>3212</v>
      </c>
      <c r="BY978" t="s">
        <v>291</v>
      </c>
      <c r="BZ978" t="s">
        <v>179</v>
      </c>
      <c r="CA978" t="s">
        <v>4513</v>
      </c>
      <c r="CB978" t="s">
        <v>150</v>
      </c>
      <c r="CC978">
        <v>112</v>
      </c>
      <c r="CD978">
        <v>0.6</v>
      </c>
      <c r="CE978">
        <v>38.880000000000003</v>
      </c>
      <c r="CF978">
        <v>7778</v>
      </c>
      <c r="CG978">
        <v>3000</v>
      </c>
      <c r="CH978">
        <v>83</v>
      </c>
      <c r="CI978">
        <v>2618</v>
      </c>
      <c r="CJ978">
        <v>1483</v>
      </c>
      <c r="CK978">
        <v>30000</v>
      </c>
      <c r="CL978" t="s">
        <v>291</v>
      </c>
      <c r="CM978" t="s">
        <v>291</v>
      </c>
      <c r="CN978" t="s">
        <v>4512</v>
      </c>
      <c r="CO978" s="1">
        <v>43616</v>
      </c>
      <c r="CP978" s="1">
        <v>43651</v>
      </c>
    </row>
    <row r="979" spans="1:94" x14ac:dyDescent="0.25">
      <c r="A979" t="s">
        <v>4521</v>
      </c>
      <c r="B979" t="str">
        <f xml:space="preserve"> "" &amp; 706411062070</f>
        <v>706411062070</v>
      </c>
      <c r="C979" t="s">
        <v>4517</v>
      </c>
      <c r="D979" t="s">
        <v>4516</v>
      </c>
      <c r="E979" t="s">
        <v>3211</v>
      </c>
      <c r="F979" t="s">
        <v>2113</v>
      </c>
      <c r="G979">
        <v>1</v>
      </c>
      <c r="H979">
        <v>1</v>
      </c>
      <c r="I979" t="s">
        <v>97</v>
      </c>
      <c r="J979" s="32">
        <v>369.95</v>
      </c>
      <c r="K979" s="32">
        <v>1109.8499999999999</v>
      </c>
      <c r="L979">
        <v>0</v>
      </c>
      <c r="N979">
        <v>0</v>
      </c>
      <c r="Q979" t="s">
        <v>291</v>
      </c>
      <c r="R979" s="32">
        <v>739.95</v>
      </c>
      <c r="S979">
        <v>17.239999999999998</v>
      </c>
      <c r="T979">
        <v>68</v>
      </c>
      <c r="U979">
        <v>68</v>
      </c>
      <c r="W979">
        <v>19.29</v>
      </c>
      <c r="X979">
        <v>1</v>
      </c>
      <c r="Y979">
        <v>11.25</v>
      </c>
      <c r="Z979">
        <v>35.880000000000003</v>
      </c>
      <c r="AA979">
        <v>14.5</v>
      </c>
      <c r="AB979">
        <v>3.387</v>
      </c>
      <c r="AC979">
        <v>24.25</v>
      </c>
      <c r="AE979">
        <v>1</v>
      </c>
      <c r="AF979" t="s">
        <v>4515</v>
      </c>
      <c r="AG979">
        <v>26</v>
      </c>
      <c r="AK979" t="s">
        <v>291</v>
      </c>
      <c r="AM979" t="s">
        <v>98</v>
      </c>
      <c r="AN979" t="s">
        <v>291</v>
      </c>
      <c r="AO979" t="s">
        <v>98</v>
      </c>
      <c r="AP979" t="s">
        <v>99</v>
      </c>
      <c r="AQ979" t="s">
        <v>102</v>
      </c>
      <c r="AV979" t="s">
        <v>98</v>
      </c>
      <c r="AX979" t="s">
        <v>209</v>
      </c>
      <c r="AZ979" t="s">
        <v>2149</v>
      </c>
      <c r="BB979" t="s">
        <v>2244</v>
      </c>
      <c r="BF979" t="s">
        <v>4520</v>
      </c>
      <c r="BG979" t="s">
        <v>98</v>
      </c>
      <c r="BH979" t="s">
        <v>98</v>
      </c>
      <c r="BI979" t="s">
        <v>98</v>
      </c>
      <c r="BK979" t="s">
        <v>138</v>
      </c>
      <c r="BU979">
        <v>10</v>
      </c>
      <c r="BW979" t="s">
        <v>2856</v>
      </c>
      <c r="BX979" t="s">
        <v>3212</v>
      </c>
      <c r="BY979" t="s">
        <v>291</v>
      </c>
      <c r="BZ979" t="s">
        <v>2466</v>
      </c>
      <c r="CA979" t="s">
        <v>4513</v>
      </c>
      <c r="CB979" t="s">
        <v>209</v>
      </c>
      <c r="CC979">
        <v>112</v>
      </c>
      <c r="CD979">
        <v>0.6</v>
      </c>
      <c r="CE979">
        <v>38.880000000000003</v>
      </c>
      <c r="CF979">
        <v>7778</v>
      </c>
      <c r="CG979">
        <v>3000</v>
      </c>
      <c r="CH979">
        <v>83</v>
      </c>
      <c r="CI979">
        <v>2618</v>
      </c>
      <c r="CJ979">
        <v>1483</v>
      </c>
      <c r="CK979">
        <v>30000</v>
      </c>
      <c r="CL979" t="s">
        <v>291</v>
      </c>
      <c r="CM979" t="s">
        <v>291</v>
      </c>
      <c r="CN979" t="s">
        <v>4519</v>
      </c>
      <c r="CO979" s="1">
        <v>43616</v>
      </c>
      <c r="CP979" s="1">
        <v>43651</v>
      </c>
    </row>
    <row r="980" spans="1:94" x14ac:dyDescent="0.25">
      <c r="A980" t="s">
        <v>4518</v>
      </c>
      <c r="B980" t="str">
        <f xml:space="preserve"> "" &amp; 706411062087</f>
        <v>706411062087</v>
      </c>
      <c r="C980" t="s">
        <v>4517</v>
      </c>
      <c r="D980" t="s">
        <v>4516</v>
      </c>
      <c r="E980" t="s">
        <v>3211</v>
      </c>
      <c r="F980" t="s">
        <v>2113</v>
      </c>
      <c r="G980">
        <v>1</v>
      </c>
      <c r="H980">
        <v>1</v>
      </c>
      <c r="I980" t="s">
        <v>97</v>
      </c>
      <c r="J980" s="32">
        <v>369.95</v>
      </c>
      <c r="K980" s="32">
        <v>1109.8499999999999</v>
      </c>
      <c r="L980">
        <v>0</v>
      </c>
      <c r="N980">
        <v>0</v>
      </c>
      <c r="Q980" t="s">
        <v>291</v>
      </c>
      <c r="R980" s="32">
        <v>739.95</v>
      </c>
      <c r="S980">
        <v>17.239999999999998</v>
      </c>
      <c r="T980">
        <v>68</v>
      </c>
      <c r="U980">
        <v>68</v>
      </c>
      <c r="W980">
        <v>19.29</v>
      </c>
      <c r="X980">
        <v>1</v>
      </c>
      <c r="Y980">
        <v>11.25</v>
      </c>
      <c r="Z980">
        <v>35.880000000000003</v>
      </c>
      <c r="AA980">
        <v>14.5</v>
      </c>
      <c r="AB980">
        <v>3.387</v>
      </c>
      <c r="AC980">
        <v>24.25</v>
      </c>
      <c r="AE980">
        <v>1</v>
      </c>
      <c r="AF980" t="s">
        <v>4515</v>
      </c>
      <c r="AG980">
        <v>26</v>
      </c>
      <c r="AK980" t="s">
        <v>291</v>
      </c>
      <c r="AM980" t="s">
        <v>98</v>
      </c>
      <c r="AN980" t="s">
        <v>291</v>
      </c>
      <c r="AO980" t="s">
        <v>98</v>
      </c>
      <c r="AP980" t="s">
        <v>99</v>
      </c>
      <c r="AQ980" t="s">
        <v>102</v>
      </c>
      <c r="AV980" t="s">
        <v>98</v>
      </c>
      <c r="AX980" t="s">
        <v>209</v>
      </c>
      <c r="AZ980" t="s">
        <v>2149</v>
      </c>
      <c r="BB980" t="s">
        <v>2244</v>
      </c>
      <c r="BF980" t="s">
        <v>4514</v>
      </c>
      <c r="BG980" t="s">
        <v>98</v>
      </c>
      <c r="BH980" t="s">
        <v>98</v>
      </c>
      <c r="BI980" t="s">
        <v>98</v>
      </c>
      <c r="BK980" t="s">
        <v>138</v>
      </c>
      <c r="BU980">
        <v>10</v>
      </c>
      <c r="BW980" s="2">
        <v>43528</v>
      </c>
      <c r="BX980" t="s">
        <v>3212</v>
      </c>
      <c r="BY980" t="s">
        <v>291</v>
      </c>
      <c r="BZ980" t="s">
        <v>235</v>
      </c>
      <c r="CA980" t="s">
        <v>4513</v>
      </c>
      <c r="CB980" t="s">
        <v>209</v>
      </c>
      <c r="CC980">
        <v>112</v>
      </c>
      <c r="CD980">
        <v>0.6</v>
      </c>
      <c r="CE980">
        <v>38.880000000000003</v>
      </c>
      <c r="CF980">
        <v>7778</v>
      </c>
      <c r="CG980">
        <v>3000</v>
      </c>
      <c r="CH980">
        <v>83</v>
      </c>
      <c r="CI980">
        <v>2618</v>
      </c>
      <c r="CJ980">
        <v>1483</v>
      </c>
      <c r="CK980">
        <v>30000</v>
      </c>
      <c r="CL980" t="s">
        <v>291</v>
      </c>
      <c r="CM980" t="s">
        <v>291</v>
      </c>
      <c r="CN980" t="s">
        <v>4512</v>
      </c>
      <c r="CO980" s="1">
        <v>43616</v>
      </c>
      <c r="CP980" s="1">
        <v>43651</v>
      </c>
    </row>
    <row r="981" spans="1:94" x14ac:dyDescent="0.25">
      <c r="A981" s="4" t="s">
        <v>3213</v>
      </c>
      <c r="B981" t="str">
        <f xml:space="preserve"> "" &amp; 706411042607</f>
        <v>706411042607</v>
      </c>
      <c r="C981" t="s">
        <v>2178</v>
      </c>
      <c r="D981" t="s">
        <v>3214</v>
      </c>
      <c r="E981" t="s">
        <v>3215</v>
      </c>
      <c r="F981" t="s">
        <v>2113</v>
      </c>
      <c r="G981">
        <v>1</v>
      </c>
      <c r="H981">
        <v>1</v>
      </c>
      <c r="I981" t="s">
        <v>97</v>
      </c>
      <c r="J981" s="32">
        <v>132.94999999999999</v>
      </c>
      <c r="K981" s="32">
        <v>398.85</v>
      </c>
      <c r="L981">
        <v>0</v>
      </c>
      <c r="N981">
        <v>0</v>
      </c>
      <c r="Q981" t="s">
        <v>291</v>
      </c>
      <c r="R981" s="32">
        <v>265.95</v>
      </c>
      <c r="S981">
        <v>14.75</v>
      </c>
      <c r="T981">
        <v>54</v>
      </c>
      <c r="U981">
        <v>54</v>
      </c>
      <c r="W981">
        <v>16.18</v>
      </c>
      <c r="X981">
        <v>1</v>
      </c>
      <c r="Y981">
        <v>10.5</v>
      </c>
      <c r="Z981">
        <v>28.25</v>
      </c>
      <c r="AA981">
        <v>10</v>
      </c>
      <c r="AB981">
        <v>1.7170000000000001</v>
      </c>
      <c r="AC981">
        <v>18.5</v>
      </c>
      <c r="AK981" t="s">
        <v>98</v>
      </c>
      <c r="AM981" t="s">
        <v>98</v>
      </c>
      <c r="AN981" t="s">
        <v>98</v>
      </c>
      <c r="AO981" t="s">
        <v>291</v>
      </c>
      <c r="AP981" t="s">
        <v>99</v>
      </c>
      <c r="AQ981" t="s">
        <v>102</v>
      </c>
      <c r="AV981" t="s">
        <v>98</v>
      </c>
      <c r="AX981" t="s">
        <v>159</v>
      </c>
      <c r="AZ981" t="s">
        <v>2180</v>
      </c>
      <c r="BC981" t="s">
        <v>485</v>
      </c>
      <c r="BF981" t="s">
        <v>3216</v>
      </c>
      <c r="BG981" t="s">
        <v>98</v>
      </c>
      <c r="BH981" t="s">
        <v>98</v>
      </c>
      <c r="BI981" t="s">
        <v>98</v>
      </c>
      <c r="BJ981" t="s">
        <v>291</v>
      </c>
      <c r="BK981" t="s">
        <v>292</v>
      </c>
      <c r="BU981" t="s">
        <v>3217</v>
      </c>
      <c r="BW981">
        <v>0.75</v>
      </c>
      <c r="BX981" t="s">
        <v>2206</v>
      </c>
      <c r="BY981" t="s">
        <v>98</v>
      </c>
      <c r="BZ981" t="s">
        <v>441</v>
      </c>
      <c r="CA981" t="s">
        <v>3218</v>
      </c>
      <c r="CB981" t="s">
        <v>159</v>
      </c>
      <c r="CC981">
        <v>157</v>
      </c>
      <c r="CD981">
        <v>0.372</v>
      </c>
      <c r="CE981">
        <v>44.68</v>
      </c>
      <c r="CF981">
        <v>5357</v>
      </c>
      <c r="CL981" t="s">
        <v>98</v>
      </c>
      <c r="CM981" t="s">
        <v>291</v>
      </c>
      <c r="CO981" s="1">
        <v>41044</v>
      </c>
      <c r="CP981" s="1">
        <v>43595</v>
      </c>
    </row>
    <row r="982" spans="1:94" x14ac:dyDescent="0.25">
      <c r="A982" s="4" t="s">
        <v>3219</v>
      </c>
      <c r="B982" t="str">
        <f xml:space="preserve"> "" &amp; 706411061929</f>
        <v>706411061929</v>
      </c>
      <c r="C982" t="s">
        <v>3220</v>
      </c>
      <c r="D982" t="s">
        <v>3214</v>
      </c>
      <c r="E982" t="s">
        <v>3215</v>
      </c>
      <c r="F982" t="s">
        <v>2113</v>
      </c>
      <c r="G982">
        <v>1</v>
      </c>
      <c r="H982">
        <v>1</v>
      </c>
      <c r="I982" t="s">
        <v>97</v>
      </c>
      <c r="J982" s="32">
        <v>132.94999999999999</v>
      </c>
      <c r="K982" s="32">
        <v>398.85</v>
      </c>
      <c r="L982">
        <v>0</v>
      </c>
      <c r="N982">
        <v>0</v>
      </c>
      <c r="Q982" t="s">
        <v>291</v>
      </c>
      <c r="R982" s="32">
        <v>265.95</v>
      </c>
      <c r="S982">
        <v>14.75</v>
      </c>
      <c r="T982">
        <v>54</v>
      </c>
      <c r="U982">
        <v>54</v>
      </c>
      <c r="W982">
        <v>16.18</v>
      </c>
      <c r="X982">
        <v>1</v>
      </c>
      <c r="Y982">
        <v>10.5</v>
      </c>
      <c r="Z982">
        <v>28.25</v>
      </c>
      <c r="AA982">
        <v>10</v>
      </c>
      <c r="AB982">
        <v>1.7170000000000001</v>
      </c>
      <c r="AC982">
        <v>18.5</v>
      </c>
      <c r="AK982" t="s">
        <v>98</v>
      </c>
      <c r="AM982" t="s">
        <v>98</v>
      </c>
      <c r="AN982" t="s">
        <v>98</v>
      </c>
      <c r="AO982" t="s">
        <v>291</v>
      </c>
      <c r="AP982" t="s">
        <v>99</v>
      </c>
      <c r="AQ982" t="s">
        <v>102</v>
      </c>
      <c r="AV982" t="s">
        <v>98</v>
      </c>
      <c r="AX982" t="s">
        <v>179</v>
      </c>
      <c r="AZ982" t="s">
        <v>2149</v>
      </c>
      <c r="BF982" t="s">
        <v>3221</v>
      </c>
      <c r="BG982" t="s">
        <v>98</v>
      </c>
      <c r="BH982" t="s">
        <v>98</v>
      </c>
      <c r="BI982" t="s">
        <v>98</v>
      </c>
      <c r="BJ982" t="s">
        <v>291</v>
      </c>
      <c r="BK982" t="s">
        <v>292</v>
      </c>
      <c r="BU982">
        <v>6</v>
      </c>
      <c r="BW982">
        <v>0.75</v>
      </c>
      <c r="BX982" t="s">
        <v>2206</v>
      </c>
      <c r="BZ982" t="s">
        <v>179</v>
      </c>
      <c r="CA982" t="s">
        <v>3218</v>
      </c>
      <c r="CB982" t="s">
        <v>179</v>
      </c>
      <c r="CC982">
        <v>157</v>
      </c>
      <c r="CD982">
        <v>0.372</v>
      </c>
      <c r="CE982">
        <v>44.68</v>
      </c>
      <c r="CF982">
        <v>5357</v>
      </c>
      <c r="CL982" t="s">
        <v>98</v>
      </c>
      <c r="CM982" t="s">
        <v>291</v>
      </c>
      <c r="CO982" s="1">
        <v>43542</v>
      </c>
      <c r="CP982" s="1">
        <v>43642</v>
      </c>
    </row>
    <row r="983" spans="1:94" x14ac:dyDescent="0.25">
      <c r="A983" s="4" t="s">
        <v>3222</v>
      </c>
      <c r="B983" t="str">
        <f xml:space="preserve"> "" &amp; 706411042614</f>
        <v>706411042614</v>
      </c>
      <c r="C983" t="s">
        <v>2178</v>
      </c>
      <c r="D983" t="s">
        <v>3214</v>
      </c>
      <c r="E983" t="s">
        <v>3215</v>
      </c>
      <c r="F983" t="s">
        <v>2113</v>
      </c>
      <c r="G983">
        <v>1</v>
      </c>
      <c r="H983">
        <v>1</v>
      </c>
      <c r="I983" t="s">
        <v>97</v>
      </c>
      <c r="J983" s="32">
        <v>132.94999999999999</v>
      </c>
      <c r="K983" s="32">
        <v>398.85</v>
      </c>
      <c r="L983">
        <v>0</v>
      </c>
      <c r="N983">
        <v>0</v>
      </c>
      <c r="Q983" t="s">
        <v>291</v>
      </c>
      <c r="R983" s="32">
        <v>265.95</v>
      </c>
      <c r="S983">
        <v>14.75</v>
      </c>
      <c r="T983">
        <v>54</v>
      </c>
      <c r="U983">
        <v>54</v>
      </c>
      <c r="W983">
        <v>16.18</v>
      </c>
      <c r="X983">
        <v>1</v>
      </c>
      <c r="Y983">
        <v>10.5</v>
      </c>
      <c r="Z983">
        <v>28.25</v>
      </c>
      <c r="AA983">
        <v>10</v>
      </c>
      <c r="AB983">
        <v>1.7170000000000001</v>
      </c>
      <c r="AC983">
        <v>18.5</v>
      </c>
      <c r="AK983" t="s">
        <v>98</v>
      </c>
      <c r="AM983" t="s">
        <v>98</v>
      </c>
      <c r="AN983" t="s">
        <v>98</v>
      </c>
      <c r="AO983" t="s">
        <v>291</v>
      </c>
      <c r="AP983" t="s">
        <v>99</v>
      </c>
      <c r="AQ983" t="s">
        <v>102</v>
      </c>
      <c r="AV983" t="s">
        <v>98</v>
      </c>
      <c r="AX983" t="s">
        <v>219</v>
      </c>
      <c r="AZ983" t="s">
        <v>2180</v>
      </c>
      <c r="BC983" t="s">
        <v>485</v>
      </c>
      <c r="BF983" t="s">
        <v>3223</v>
      </c>
      <c r="BG983" t="s">
        <v>98</v>
      </c>
      <c r="BH983" t="s">
        <v>98</v>
      </c>
      <c r="BI983" t="s">
        <v>98</v>
      </c>
      <c r="BJ983" t="s">
        <v>291</v>
      </c>
      <c r="BK983" t="s">
        <v>292</v>
      </c>
      <c r="BU983">
        <v>6</v>
      </c>
      <c r="BW983">
        <v>0.75</v>
      </c>
      <c r="BX983">
        <v>14</v>
      </c>
      <c r="BY983" t="s">
        <v>98</v>
      </c>
      <c r="BZ983" t="s">
        <v>219</v>
      </c>
      <c r="CA983" t="s">
        <v>3218</v>
      </c>
      <c r="CB983" t="s">
        <v>219</v>
      </c>
      <c r="CC983">
        <v>157</v>
      </c>
      <c r="CD983">
        <v>0.372</v>
      </c>
      <c r="CE983">
        <v>44.68</v>
      </c>
      <c r="CF983">
        <v>5357</v>
      </c>
      <c r="CL983" t="s">
        <v>98</v>
      </c>
      <c r="CM983" t="s">
        <v>291</v>
      </c>
      <c r="CO983" s="1">
        <v>41046</v>
      </c>
      <c r="CP983" s="1">
        <v>43595</v>
      </c>
    </row>
    <row r="984" spans="1:94" x14ac:dyDescent="0.25">
      <c r="A984" s="4" t="s">
        <v>3229</v>
      </c>
      <c r="B984" t="str">
        <f xml:space="preserve"> "" &amp; 706411054242</f>
        <v>706411054242</v>
      </c>
      <c r="C984" t="s">
        <v>2439</v>
      </c>
      <c r="D984" t="s">
        <v>3230</v>
      </c>
      <c r="E984" t="s">
        <v>3231</v>
      </c>
      <c r="F984" t="s">
        <v>2113</v>
      </c>
      <c r="G984">
        <v>1</v>
      </c>
      <c r="H984">
        <v>1</v>
      </c>
      <c r="I984" t="s">
        <v>97</v>
      </c>
      <c r="J984" s="32">
        <v>155.94999999999999</v>
      </c>
      <c r="K984" s="32">
        <v>467.85</v>
      </c>
      <c r="L984">
        <v>0</v>
      </c>
      <c r="N984">
        <v>0</v>
      </c>
      <c r="Q984" t="s">
        <v>291</v>
      </c>
      <c r="R984" s="32">
        <v>314.95</v>
      </c>
      <c r="S984">
        <v>15.75</v>
      </c>
      <c r="T984">
        <v>54</v>
      </c>
      <c r="U984">
        <v>54</v>
      </c>
      <c r="W984">
        <v>17.22</v>
      </c>
      <c r="X984">
        <v>1</v>
      </c>
      <c r="Y984">
        <v>10.5</v>
      </c>
      <c r="Z984">
        <v>28</v>
      </c>
      <c r="AA984">
        <v>9.8800000000000008</v>
      </c>
      <c r="AB984">
        <v>1.681</v>
      </c>
      <c r="AC984">
        <v>20.079999999999998</v>
      </c>
      <c r="AE984">
        <v>1</v>
      </c>
      <c r="AF984" t="s">
        <v>2141</v>
      </c>
      <c r="AG984">
        <v>17</v>
      </c>
      <c r="AK984" t="s">
        <v>291</v>
      </c>
      <c r="AM984" t="s">
        <v>98</v>
      </c>
      <c r="AN984" t="s">
        <v>98</v>
      </c>
      <c r="AO984" t="s">
        <v>291</v>
      </c>
      <c r="AP984" t="s">
        <v>99</v>
      </c>
      <c r="AQ984" t="s">
        <v>102</v>
      </c>
      <c r="AV984" t="s">
        <v>98</v>
      </c>
      <c r="AX984" t="s">
        <v>159</v>
      </c>
      <c r="AZ984" t="s">
        <v>2149</v>
      </c>
      <c r="BB984" t="s">
        <v>106</v>
      </c>
      <c r="BC984" t="s">
        <v>3232</v>
      </c>
      <c r="BF984" t="s">
        <v>3233</v>
      </c>
      <c r="BG984" t="s">
        <v>98</v>
      </c>
      <c r="BH984" t="s">
        <v>98</v>
      </c>
      <c r="BI984" t="s">
        <v>98</v>
      </c>
      <c r="BJ984" t="s">
        <v>291</v>
      </c>
      <c r="BK984" t="s">
        <v>292</v>
      </c>
      <c r="BU984">
        <v>6</v>
      </c>
      <c r="BW984">
        <v>0.75</v>
      </c>
      <c r="BX984" t="s">
        <v>2206</v>
      </c>
      <c r="BY984" t="s">
        <v>291</v>
      </c>
      <c r="BZ984" t="s">
        <v>441</v>
      </c>
      <c r="CA984" t="s">
        <v>3218</v>
      </c>
      <c r="CB984" t="s">
        <v>159</v>
      </c>
      <c r="CC984">
        <v>150</v>
      </c>
      <c r="CD984">
        <v>0.42</v>
      </c>
      <c r="CE984">
        <v>47</v>
      </c>
      <c r="CF984">
        <v>5682</v>
      </c>
      <c r="CG984">
        <v>3000</v>
      </c>
      <c r="CH984">
        <v>84</v>
      </c>
      <c r="CI984">
        <v>1350</v>
      </c>
      <c r="CJ984">
        <v>623</v>
      </c>
      <c r="CK984">
        <v>30000</v>
      </c>
      <c r="CL984" t="s">
        <v>291</v>
      </c>
      <c r="CM984" t="s">
        <v>291</v>
      </c>
      <c r="CN984" t="s">
        <v>3234</v>
      </c>
      <c r="CO984" s="1">
        <v>42429</v>
      </c>
      <c r="CP984" s="1">
        <v>43595</v>
      </c>
    </row>
    <row r="985" spans="1:94" x14ac:dyDescent="0.25">
      <c r="A985" s="4" t="s">
        <v>3235</v>
      </c>
      <c r="B985" t="str">
        <f xml:space="preserve"> "" &amp; 706411061936</f>
        <v>706411061936</v>
      </c>
      <c r="C985" t="s">
        <v>3236</v>
      </c>
      <c r="D985" t="s">
        <v>3230</v>
      </c>
      <c r="E985" t="s">
        <v>3231</v>
      </c>
      <c r="F985" t="s">
        <v>2113</v>
      </c>
      <c r="G985">
        <v>1</v>
      </c>
      <c r="H985">
        <v>1</v>
      </c>
      <c r="I985" t="s">
        <v>97</v>
      </c>
      <c r="J985" s="32">
        <v>155.94999999999999</v>
      </c>
      <c r="K985" s="32">
        <v>467.85</v>
      </c>
      <c r="L985">
        <v>0</v>
      </c>
      <c r="N985">
        <v>0</v>
      </c>
      <c r="Q985" t="s">
        <v>291</v>
      </c>
      <c r="R985" s="32">
        <v>314.95</v>
      </c>
      <c r="S985">
        <v>14.75</v>
      </c>
      <c r="T985">
        <v>54</v>
      </c>
      <c r="U985">
        <v>54</v>
      </c>
      <c r="W985">
        <v>17.22</v>
      </c>
      <c r="X985">
        <v>1</v>
      </c>
      <c r="Y985">
        <v>10.5</v>
      </c>
      <c r="Z985">
        <v>28</v>
      </c>
      <c r="AA985">
        <v>9.8800000000000008</v>
      </c>
      <c r="AB985">
        <v>1.681</v>
      </c>
      <c r="AC985">
        <v>20.079999999999998</v>
      </c>
      <c r="AE985">
        <v>1</v>
      </c>
      <c r="AF985" t="s">
        <v>3237</v>
      </c>
      <c r="AG985">
        <v>17</v>
      </c>
      <c r="AK985" t="s">
        <v>291</v>
      </c>
      <c r="AM985" t="s">
        <v>98</v>
      </c>
      <c r="AN985" t="s">
        <v>98</v>
      </c>
      <c r="AO985" t="s">
        <v>291</v>
      </c>
      <c r="AP985" t="s">
        <v>99</v>
      </c>
      <c r="AQ985" t="s">
        <v>102</v>
      </c>
      <c r="AV985" t="s">
        <v>98</v>
      </c>
      <c r="AX985" t="s">
        <v>179</v>
      </c>
      <c r="AZ985" t="s">
        <v>2149</v>
      </c>
      <c r="BC985" t="s">
        <v>3232</v>
      </c>
      <c r="BF985" t="s">
        <v>3238</v>
      </c>
      <c r="BG985" t="s">
        <v>98</v>
      </c>
      <c r="BH985" t="s">
        <v>98</v>
      </c>
      <c r="BI985" t="s">
        <v>98</v>
      </c>
      <c r="BJ985" t="s">
        <v>291</v>
      </c>
      <c r="BK985" t="s">
        <v>292</v>
      </c>
      <c r="BU985">
        <v>6</v>
      </c>
      <c r="BW985">
        <v>0.75</v>
      </c>
      <c r="BX985" t="s">
        <v>2206</v>
      </c>
      <c r="BY985" t="s">
        <v>291</v>
      </c>
      <c r="BZ985" t="s">
        <v>179</v>
      </c>
      <c r="CA985" t="s">
        <v>3239</v>
      </c>
      <c r="CB985" t="s">
        <v>179</v>
      </c>
      <c r="CC985">
        <v>156</v>
      </c>
      <c r="CD985">
        <v>0.39100000000000001</v>
      </c>
      <c r="CE985">
        <v>46.9</v>
      </c>
      <c r="CF985">
        <v>5846</v>
      </c>
      <c r="CG985">
        <v>3000</v>
      </c>
      <c r="CH985">
        <v>84</v>
      </c>
      <c r="CI985">
        <v>1349.6</v>
      </c>
      <c r="CJ985">
        <v>623.4</v>
      </c>
      <c r="CK985">
        <v>30000</v>
      </c>
      <c r="CL985" t="s">
        <v>291</v>
      </c>
      <c r="CM985" t="s">
        <v>291</v>
      </c>
      <c r="CO985" s="1">
        <v>43563</v>
      </c>
      <c r="CP985" s="1">
        <v>43595</v>
      </c>
    </row>
    <row r="986" spans="1:94" x14ac:dyDescent="0.25">
      <c r="A986" s="4" t="s">
        <v>3240</v>
      </c>
      <c r="B986" t="str">
        <f xml:space="preserve"> "" &amp; 706411054259</f>
        <v>706411054259</v>
      </c>
      <c r="C986" t="s">
        <v>2439</v>
      </c>
      <c r="D986" t="s">
        <v>3230</v>
      </c>
      <c r="E986" t="s">
        <v>3231</v>
      </c>
      <c r="F986" t="s">
        <v>2113</v>
      </c>
      <c r="G986">
        <v>1</v>
      </c>
      <c r="H986">
        <v>1</v>
      </c>
      <c r="I986" t="s">
        <v>97</v>
      </c>
      <c r="J986" s="32">
        <v>155.94999999999999</v>
      </c>
      <c r="K986" s="32">
        <v>467.85</v>
      </c>
      <c r="L986">
        <v>0</v>
      </c>
      <c r="N986">
        <v>0</v>
      </c>
      <c r="Q986" t="s">
        <v>291</v>
      </c>
      <c r="R986" s="32">
        <v>314.95</v>
      </c>
      <c r="S986">
        <v>15.75</v>
      </c>
      <c r="T986">
        <v>54</v>
      </c>
      <c r="U986">
        <v>54</v>
      </c>
      <c r="W986">
        <v>17.22</v>
      </c>
      <c r="X986">
        <v>1</v>
      </c>
      <c r="Y986">
        <v>10.5</v>
      </c>
      <c r="Z986">
        <v>28</v>
      </c>
      <c r="AA986">
        <v>9.8800000000000008</v>
      </c>
      <c r="AB986">
        <v>1.681</v>
      </c>
      <c r="AC986">
        <v>20.079999999999998</v>
      </c>
      <c r="AE986">
        <v>1</v>
      </c>
      <c r="AF986" t="s">
        <v>2141</v>
      </c>
      <c r="AG986">
        <v>17</v>
      </c>
      <c r="AK986" t="s">
        <v>291</v>
      </c>
      <c r="AM986" t="s">
        <v>98</v>
      </c>
      <c r="AN986" t="s">
        <v>98</v>
      </c>
      <c r="AO986" t="s">
        <v>291</v>
      </c>
      <c r="AP986" t="s">
        <v>99</v>
      </c>
      <c r="AQ986" t="s">
        <v>102</v>
      </c>
      <c r="AV986" t="s">
        <v>98</v>
      </c>
      <c r="AX986" t="s">
        <v>219</v>
      </c>
      <c r="AZ986" t="s">
        <v>2149</v>
      </c>
      <c r="BB986" t="s">
        <v>106</v>
      </c>
      <c r="BC986" t="s">
        <v>3232</v>
      </c>
      <c r="BF986" t="s">
        <v>3241</v>
      </c>
      <c r="BG986" t="s">
        <v>98</v>
      </c>
      <c r="BH986" t="s">
        <v>98</v>
      </c>
      <c r="BI986" t="s">
        <v>98</v>
      </c>
      <c r="BJ986" t="s">
        <v>291</v>
      </c>
      <c r="BK986" t="s">
        <v>292</v>
      </c>
      <c r="BU986">
        <v>6</v>
      </c>
      <c r="BW986">
        <v>0.75</v>
      </c>
      <c r="BX986" t="s">
        <v>2206</v>
      </c>
      <c r="BY986" t="s">
        <v>291</v>
      </c>
      <c r="BZ986" t="s">
        <v>219</v>
      </c>
      <c r="CA986" t="s">
        <v>3218</v>
      </c>
      <c r="CB986" t="s">
        <v>219</v>
      </c>
      <c r="CC986">
        <v>156</v>
      </c>
      <c r="CD986">
        <v>0.39100000000000001</v>
      </c>
      <c r="CE986">
        <v>46.9</v>
      </c>
      <c r="CF986">
        <v>5846</v>
      </c>
      <c r="CG986">
        <v>3000</v>
      </c>
      <c r="CH986">
        <v>84</v>
      </c>
      <c r="CI986">
        <v>1350</v>
      </c>
      <c r="CJ986">
        <v>623.4</v>
      </c>
      <c r="CK986">
        <v>30000</v>
      </c>
      <c r="CL986" t="s">
        <v>291</v>
      </c>
      <c r="CM986" t="s">
        <v>291</v>
      </c>
      <c r="CN986" t="s">
        <v>3234</v>
      </c>
      <c r="CO986" s="1">
        <v>42429</v>
      </c>
      <c r="CP986" s="1">
        <v>43595</v>
      </c>
    </row>
    <row r="987" spans="1:94" x14ac:dyDescent="0.25">
      <c r="A987" s="4" t="s">
        <v>3242</v>
      </c>
      <c r="B987" t="str">
        <f xml:space="preserve"> "" &amp; 706411054273</f>
        <v>706411054273</v>
      </c>
      <c r="C987" t="s">
        <v>3236</v>
      </c>
      <c r="D987" t="s">
        <v>3230</v>
      </c>
      <c r="E987" t="s">
        <v>3231</v>
      </c>
      <c r="F987" t="s">
        <v>2113</v>
      </c>
      <c r="G987">
        <v>1</v>
      </c>
      <c r="H987">
        <v>1</v>
      </c>
      <c r="I987" t="s">
        <v>97</v>
      </c>
      <c r="J987" s="32">
        <v>155.94999999999999</v>
      </c>
      <c r="K987" s="32">
        <v>467.85</v>
      </c>
      <c r="L987">
        <v>0</v>
      </c>
      <c r="N987">
        <v>0</v>
      </c>
      <c r="Q987" t="s">
        <v>291</v>
      </c>
      <c r="R987" s="32">
        <v>314.95</v>
      </c>
      <c r="S987">
        <v>14.75</v>
      </c>
      <c r="T987">
        <v>54</v>
      </c>
      <c r="U987">
        <v>54</v>
      </c>
      <c r="W987">
        <v>17.22</v>
      </c>
      <c r="X987">
        <v>1</v>
      </c>
      <c r="Y987">
        <v>10.5</v>
      </c>
      <c r="Z987">
        <v>28</v>
      </c>
      <c r="AA987">
        <v>9.8800000000000008</v>
      </c>
      <c r="AB987">
        <v>1.681</v>
      </c>
      <c r="AC987">
        <v>20.079999999999998</v>
      </c>
      <c r="AE987">
        <v>1</v>
      </c>
      <c r="AF987" t="s">
        <v>2141</v>
      </c>
      <c r="AG987">
        <v>17</v>
      </c>
      <c r="AK987" t="s">
        <v>291</v>
      </c>
      <c r="AM987" t="s">
        <v>98</v>
      </c>
      <c r="AN987" t="s">
        <v>98</v>
      </c>
      <c r="AO987" t="s">
        <v>291</v>
      </c>
      <c r="AP987" t="s">
        <v>99</v>
      </c>
      <c r="AQ987" t="s">
        <v>102</v>
      </c>
      <c r="AV987" t="s">
        <v>98</v>
      </c>
      <c r="AX987" t="s">
        <v>257</v>
      </c>
      <c r="AZ987" t="s">
        <v>2149</v>
      </c>
      <c r="BB987" t="s">
        <v>106</v>
      </c>
      <c r="BC987" t="s">
        <v>3232</v>
      </c>
      <c r="BF987" t="s">
        <v>3243</v>
      </c>
      <c r="BG987" t="s">
        <v>98</v>
      </c>
      <c r="BH987" t="s">
        <v>98</v>
      </c>
      <c r="BI987" t="s">
        <v>98</v>
      </c>
      <c r="BK987" t="s">
        <v>138</v>
      </c>
      <c r="BU987">
        <v>6</v>
      </c>
      <c r="BW987">
        <v>0.75</v>
      </c>
      <c r="BX987">
        <v>14</v>
      </c>
      <c r="BY987" t="s">
        <v>291</v>
      </c>
      <c r="BZ987" t="s">
        <v>441</v>
      </c>
      <c r="CA987" t="s">
        <v>3218</v>
      </c>
      <c r="CB987" t="s">
        <v>257</v>
      </c>
      <c r="CC987">
        <v>156</v>
      </c>
      <c r="CD987">
        <v>0.39100000000000001</v>
      </c>
      <c r="CE987">
        <v>46.9</v>
      </c>
      <c r="CF987">
        <v>5846</v>
      </c>
      <c r="CG987">
        <v>3000</v>
      </c>
      <c r="CH987">
        <v>84</v>
      </c>
      <c r="CI987">
        <v>1349.6</v>
      </c>
      <c r="CJ987">
        <v>623.4</v>
      </c>
      <c r="CK987">
        <v>30000</v>
      </c>
      <c r="CL987" t="s">
        <v>291</v>
      </c>
      <c r="CM987" t="s">
        <v>291</v>
      </c>
      <c r="CN987" t="s">
        <v>2228</v>
      </c>
      <c r="CO987" s="1">
        <v>42429</v>
      </c>
      <c r="CP987" s="1">
        <v>43595</v>
      </c>
    </row>
    <row r="988" spans="1:94" x14ac:dyDescent="0.25">
      <c r="A988" s="4" t="s">
        <v>3244</v>
      </c>
      <c r="B988" t="str">
        <f xml:space="preserve"> "" &amp; 706411054266</f>
        <v>706411054266</v>
      </c>
      <c r="C988" t="s">
        <v>2439</v>
      </c>
      <c r="D988" t="s">
        <v>3230</v>
      </c>
      <c r="E988" t="s">
        <v>3231</v>
      </c>
      <c r="F988" t="s">
        <v>2113</v>
      </c>
      <c r="G988">
        <v>1</v>
      </c>
      <c r="H988">
        <v>1</v>
      </c>
      <c r="I988" t="s">
        <v>97</v>
      </c>
      <c r="J988" s="32">
        <v>155.94999999999999</v>
      </c>
      <c r="K988" s="32">
        <v>467.85</v>
      </c>
      <c r="L988">
        <v>0</v>
      </c>
      <c r="N988">
        <v>0</v>
      </c>
      <c r="Q988" t="s">
        <v>291</v>
      </c>
      <c r="R988" s="32">
        <v>314.95</v>
      </c>
      <c r="S988">
        <v>15.75</v>
      </c>
      <c r="T988">
        <v>54</v>
      </c>
      <c r="U988">
        <v>54</v>
      </c>
      <c r="W988">
        <v>17.22</v>
      </c>
      <c r="X988">
        <v>1</v>
      </c>
      <c r="Y988">
        <v>10.5</v>
      </c>
      <c r="Z988">
        <v>28</v>
      </c>
      <c r="AA988">
        <v>9.8800000000000008</v>
      </c>
      <c r="AB988">
        <v>1.681</v>
      </c>
      <c r="AC988">
        <v>20.079999999999998</v>
      </c>
      <c r="AE988">
        <v>1</v>
      </c>
      <c r="AF988" t="s">
        <v>2141</v>
      </c>
      <c r="AG988">
        <v>17</v>
      </c>
      <c r="AK988" t="s">
        <v>291</v>
      </c>
      <c r="AM988" t="s">
        <v>98</v>
      </c>
      <c r="AN988" t="s">
        <v>98</v>
      </c>
      <c r="AO988" t="s">
        <v>291</v>
      </c>
      <c r="AP988" t="s">
        <v>99</v>
      </c>
      <c r="AQ988" t="s">
        <v>102</v>
      </c>
      <c r="AV988" t="s">
        <v>98</v>
      </c>
      <c r="AX988" t="s">
        <v>306</v>
      </c>
      <c r="AZ988" t="s">
        <v>2149</v>
      </c>
      <c r="BB988" t="s">
        <v>106</v>
      </c>
      <c r="BC988" t="s">
        <v>3232</v>
      </c>
      <c r="BF988" t="s">
        <v>3245</v>
      </c>
      <c r="BG988" t="s">
        <v>98</v>
      </c>
      <c r="BH988" t="s">
        <v>98</v>
      </c>
      <c r="BI988" t="s">
        <v>98</v>
      </c>
      <c r="BJ988" t="s">
        <v>291</v>
      </c>
      <c r="BK988" t="s">
        <v>292</v>
      </c>
      <c r="BU988">
        <v>6</v>
      </c>
      <c r="BW988">
        <v>0.75</v>
      </c>
      <c r="BX988" t="s">
        <v>2206</v>
      </c>
      <c r="BY988" t="s">
        <v>291</v>
      </c>
      <c r="BZ988" t="s">
        <v>306</v>
      </c>
      <c r="CA988" t="s">
        <v>3218</v>
      </c>
      <c r="CB988" t="s">
        <v>306</v>
      </c>
      <c r="CC988">
        <v>156</v>
      </c>
      <c r="CD988">
        <v>0.39100000000000001</v>
      </c>
      <c r="CE988">
        <v>46.9</v>
      </c>
      <c r="CF988">
        <v>5846</v>
      </c>
      <c r="CG988">
        <v>3000</v>
      </c>
      <c r="CH988">
        <v>84</v>
      </c>
      <c r="CI988">
        <v>1350</v>
      </c>
      <c r="CJ988">
        <v>623</v>
      </c>
      <c r="CK988">
        <v>30000</v>
      </c>
      <c r="CL988" t="s">
        <v>291</v>
      </c>
      <c r="CM988" t="s">
        <v>291</v>
      </c>
      <c r="CN988" t="s">
        <v>3234</v>
      </c>
      <c r="CO988" s="1">
        <v>42429</v>
      </c>
      <c r="CP988" s="1">
        <v>43595</v>
      </c>
    </row>
    <row r="989" spans="1:94" x14ac:dyDescent="0.25">
      <c r="A989" s="4" t="s">
        <v>3224</v>
      </c>
      <c r="B989" t="str">
        <f xml:space="preserve"> "" &amp; 706411045530</f>
        <v>706411045530</v>
      </c>
      <c r="C989" t="s">
        <v>3220</v>
      </c>
      <c r="D989" t="s">
        <v>3214</v>
      </c>
      <c r="E989" t="s">
        <v>3215</v>
      </c>
      <c r="F989" t="s">
        <v>2113</v>
      </c>
      <c r="G989">
        <v>1</v>
      </c>
      <c r="H989">
        <v>1</v>
      </c>
      <c r="I989" t="s">
        <v>97</v>
      </c>
      <c r="J989" s="32">
        <v>132.94999999999999</v>
      </c>
      <c r="K989" s="32">
        <v>398.85</v>
      </c>
      <c r="L989">
        <v>0</v>
      </c>
      <c r="N989">
        <v>0</v>
      </c>
      <c r="Q989" t="s">
        <v>291</v>
      </c>
      <c r="R989" s="32">
        <v>265.95</v>
      </c>
      <c r="S989">
        <v>14.75</v>
      </c>
      <c r="T989">
        <v>54</v>
      </c>
      <c r="U989">
        <v>54</v>
      </c>
      <c r="W989">
        <v>16.18</v>
      </c>
      <c r="X989">
        <v>1</v>
      </c>
      <c r="Y989">
        <v>10.5</v>
      </c>
      <c r="Z989">
        <v>28.25</v>
      </c>
      <c r="AA989">
        <v>10</v>
      </c>
      <c r="AB989">
        <v>1.7170000000000001</v>
      </c>
      <c r="AC989">
        <v>18.5</v>
      </c>
      <c r="AK989" t="s">
        <v>98</v>
      </c>
      <c r="AM989" t="s">
        <v>98</v>
      </c>
      <c r="AN989" t="s">
        <v>98</v>
      </c>
      <c r="AO989" t="s">
        <v>291</v>
      </c>
      <c r="AP989" t="s">
        <v>99</v>
      </c>
      <c r="AQ989" t="s">
        <v>102</v>
      </c>
      <c r="AV989" t="s">
        <v>98</v>
      </c>
      <c r="AX989" t="s">
        <v>257</v>
      </c>
      <c r="AZ989" t="s">
        <v>2180</v>
      </c>
      <c r="BF989" t="s">
        <v>3225</v>
      </c>
      <c r="BG989" t="s">
        <v>98</v>
      </c>
      <c r="BH989" t="s">
        <v>98</v>
      </c>
      <c r="BI989" t="s">
        <v>98</v>
      </c>
      <c r="BK989" t="s">
        <v>138</v>
      </c>
      <c r="BU989">
        <v>6</v>
      </c>
      <c r="BW989">
        <v>0.75</v>
      </c>
      <c r="BX989">
        <v>14</v>
      </c>
      <c r="BZ989" t="s">
        <v>3226</v>
      </c>
      <c r="CA989" t="s">
        <v>3218</v>
      </c>
      <c r="CB989" t="s">
        <v>257</v>
      </c>
      <c r="CC989">
        <v>157</v>
      </c>
      <c r="CD989">
        <v>0.372</v>
      </c>
      <c r="CE989">
        <v>44.68</v>
      </c>
      <c r="CF989">
        <v>5357</v>
      </c>
      <c r="CL989" t="s">
        <v>98</v>
      </c>
      <c r="CM989" t="s">
        <v>291</v>
      </c>
      <c r="CO989" s="1">
        <v>41716</v>
      </c>
      <c r="CP989" s="1">
        <v>43595</v>
      </c>
    </row>
    <row r="990" spans="1:94" x14ac:dyDescent="0.25">
      <c r="A990" s="4" t="s">
        <v>3227</v>
      </c>
      <c r="B990" t="str">
        <f xml:space="preserve"> "" &amp; 706411042829</f>
        <v>706411042829</v>
      </c>
      <c r="C990" t="s">
        <v>2178</v>
      </c>
      <c r="D990" t="s">
        <v>3214</v>
      </c>
      <c r="E990" t="s">
        <v>3215</v>
      </c>
      <c r="F990" t="s">
        <v>2113</v>
      </c>
      <c r="G990">
        <v>1</v>
      </c>
      <c r="H990">
        <v>1</v>
      </c>
      <c r="I990" t="s">
        <v>97</v>
      </c>
      <c r="J990" s="32">
        <v>132.94999999999999</v>
      </c>
      <c r="K990" s="32">
        <v>398.85</v>
      </c>
      <c r="L990">
        <v>0</v>
      </c>
      <c r="N990">
        <v>0</v>
      </c>
      <c r="Q990" t="s">
        <v>291</v>
      </c>
      <c r="R990" s="32">
        <v>265.95</v>
      </c>
      <c r="S990">
        <v>14.75</v>
      </c>
      <c r="T990">
        <v>54</v>
      </c>
      <c r="U990">
        <v>54</v>
      </c>
      <c r="W990">
        <v>16.18</v>
      </c>
      <c r="X990">
        <v>1</v>
      </c>
      <c r="Y990">
        <v>10.5</v>
      </c>
      <c r="Z990">
        <v>28.25</v>
      </c>
      <c r="AA990">
        <v>10</v>
      </c>
      <c r="AB990">
        <v>1.7170000000000001</v>
      </c>
      <c r="AC990">
        <v>18.5</v>
      </c>
      <c r="AK990" t="s">
        <v>98</v>
      </c>
      <c r="AM990" t="s">
        <v>98</v>
      </c>
      <c r="AN990" t="s">
        <v>98</v>
      </c>
      <c r="AO990" t="s">
        <v>291</v>
      </c>
      <c r="AP990" t="s">
        <v>99</v>
      </c>
      <c r="AQ990" t="s">
        <v>102</v>
      </c>
      <c r="AV990" t="s">
        <v>98</v>
      </c>
      <c r="AX990" t="s">
        <v>306</v>
      </c>
      <c r="AZ990" t="s">
        <v>2180</v>
      </c>
      <c r="BC990" t="s">
        <v>485</v>
      </c>
      <c r="BF990" t="s">
        <v>3228</v>
      </c>
      <c r="BG990" t="s">
        <v>98</v>
      </c>
      <c r="BH990" t="s">
        <v>98</v>
      </c>
      <c r="BI990" t="s">
        <v>98</v>
      </c>
      <c r="BJ990" t="s">
        <v>291</v>
      </c>
      <c r="BK990" t="s">
        <v>292</v>
      </c>
      <c r="BU990">
        <v>6</v>
      </c>
      <c r="BW990">
        <v>0.75</v>
      </c>
      <c r="BX990" t="s">
        <v>2206</v>
      </c>
      <c r="BY990" t="s">
        <v>98</v>
      </c>
      <c r="BZ990" t="s">
        <v>306</v>
      </c>
      <c r="CA990" t="s">
        <v>3218</v>
      </c>
      <c r="CB990" t="s">
        <v>306</v>
      </c>
      <c r="CC990">
        <v>157</v>
      </c>
      <c r="CD990">
        <v>0.372</v>
      </c>
      <c r="CE990">
        <v>44.68</v>
      </c>
      <c r="CF990">
        <v>5357</v>
      </c>
      <c r="CL990" t="s">
        <v>98</v>
      </c>
      <c r="CM990" t="s">
        <v>291</v>
      </c>
      <c r="CO990" s="1">
        <v>41046</v>
      </c>
      <c r="CP990" s="1">
        <v>43595</v>
      </c>
    </row>
    <row r="991" spans="1:94" x14ac:dyDescent="0.25">
      <c r="A991" s="4" t="s">
        <v>3246</v>
      </c>
      <c r="B991" t="str">
        <f xml:space="preserve"> "" &amp; 706411044175</f>
        <v>706411044175</v>
      </c>
      <c r="C991" t="s">
        <v>3220</v>
      </c>
      <c r="D991" t="s">
        <v>2917</v>
      </c>
      <c r="E991" t="s">
        <v>3247</v>
      </c>
      <c r="F991" t="s">
        <v>2113</v>
      </c>
      <c r="G991">
        <v>1</v>
      </c>
      <c r="H991">
        <v>1</v>
      </c>
      <c r="I991" t="s">
        <v>97</v>
      </c>
      <c r="J991" s="32">
        <v>149.94999999999999</v>
      </c>
      <c r="K991" s="32">
        <v>449.85</v>
      </c>
      <c r="L991">
        <v>0</v>
      </c>
      <c r="N991">
        <v>0</v>
      </c>
      <c r="Q991" t="s">
        <v>291</v>
      </c>
      <c r="R991" s="32">
        <v>299.95</v>
      </c>
      <c r="S991">
        <v>18.75</v>
      </c>
      <c r="T991">
        <v>54</v>
      </c>
      <c r="U991">
        <v>54</v>
      </c>
      <c r="W991">
        <v>26.9</v>
      </c>
      <c r="X991">
        <v>1</v>
      </c>
      <c r="Y991">
        <v>11.25</v>
      </c>
      <c r="Z991">
        <v>21.5</v>
      </c>
      <c r="AA991">
        <v>15.75</v>
      </c>
      <c r="AB991">
        <v>2.2050000000000001</v>
      </c>
      <c r="AC991">
        <v>30.29</v>
      </c>
      <c r="AE991">
        <v>3</v>
      </c>
      <c r="AF991" t="s">
        <v>2350</v>
      </c>
      <c r="AG991">
        <v>60</v>
      </c>
      <c r="AK991" t="s">
        <v>291</v>
      </c>
      <c r="AM991" t="s">
        <v>98</v>
      </c>
      <c r="AN991" t="s">
        <v>291</v>
      </c>
      <c r="AO991" t="s">
        <v>98</v>
      </c>
      <c r="AP991" t="s">
        <v>99</v>
      </c>
      <c r="AQ991" t="s">
        <v>102</v>
      </c>
      <c r="AV991" t="s">
        <v>98</v>
      </c>
      <c r="AX991" t="s">
        <v>249</v>
      </c>
      <c r="AZ991" t="s">
        <v>2235</v>
      </c>
      <c r="BB991" t="s">
        <v>106</v>
      </c>
      <c r="BC991" t="s">
        <v>2969</v>
      </c>
      <c r="BF991" t="s">
        <v>3248</v>
      </c>
      <c r="BG991" t="s">
        <v>98</v>
      </c>
      <c r="BH991" t="s">
        <v>98</v>
      </c>
      <c r="BI991" t="s">
        <v>98</v>
      </c>
      <c r="BK991" t="s">
        <v>138</v>
      </c>
      <c r="BU991">
        <v>6</v>
      </c>
      <c r="BW991">
        <v>0.75</v>
      </c>
      <c r="BX991">
        <v>13</v>
      </c>
      <c r="BY991" t="s">
        <v>291</v>
      </c>
      <c r="BZ991" t="s">
        <v>249</v>
      </c>
      <c r="CA991" t="s">
        <v>3249</v>
      </c>
      <c r="CB991" t="s">
        <v>249</v>
      </c>
      <c r="CC991">
        <v>171</v>
      </c>
      <c r="CD991">
        <v>0.63</v>
      </c>
      <c r="CE991">
        <v>74.87</v>
      </c>
      <c r="CF991">
        <v>4970</v>
      </c>
      <c r="CL991" t="s">
        <v>291</v>
      </c>
      <c r="CM991" t="s">
        <v>98</v>
      </c>
      <c r="CO991" s="1">
        <v>41270</v>
      </c>
      <c r="CP991" s="1">
        <v>43595</v>
      </c>
    </row>
    <row r="992" spans="1:94" x14ac:dyDescent="0.25">
      <c r="A992" s="4" t="s">
        <v>3250</v>
      </c>
      <c r="B992" t="str">
        <f xml:space="preserve"> "" &amp; 706411058714</f>
        <v>706411058714</v>
      </c>
      <c r="C992" t="s">
        <v>2280</v>
      </c>
      <c r="D992" t="s">
        <v>3251</v>
      </c>
      <c r="E992" t="s">
        <v>3252</v>
      </c>
      <c r="F992" t="s">
        <v>2113</v>
      </c>
      <c r="G992">
        <v>1</v>
      </c>
      <c r="H992">
        <v>1</v>
      </c>
      <c r="I992" t="s">
        <v>97</v>
      </c>
      <c r="J992" s="32">
        <v>159.94999999999999</v>
      </c>
      <c r="K992" s="32">
        <v>479.85</v>
      </c>
      <c r="L992">
        <v>0</v>
      </c>
      <c r="N992">
        <v>0</v>
      </c>
      <c r="Q992" t="s">
        <v>291</v>
      </c>
      <c r="R992" s="32">
        <v>319.95</v>
      </c>
      <c r="S992">
        <v>12.75</v>
      </c>
      <c r="T992">
        <v>44</v>
      </c>
      <c r="U992">
        <v>44</v>
      </c>
      <c r="W992">
        <v>9.26</v>
      </c>
      <c r="X992">
        <v>1</v>
      </c>
      <c r="Y992">
        <v>9</v>
      </c>
      <c r="Z992">
        <v>22.75</v>
      </c>
      <c r="AA992">
        <v>8.6300000000000008</v>
      </c>
      <c r="AB992">
        <v>1.0229999999999999</v>
      </c>
      <c r="AC992">
        <v>11.02</v>
      </c>
      <c r="AK992" t="s">
        <v>98</v>
      </c>
      <c r="AM992" t="s">
        <v>98</v>
      </c>
      <c r="AN992" t="s">
        <v>291</v>
      </c>
      <c r="AO992" t="s">
        <v>98</v>
      </c>
      <c r="AP992" t="s">
        <v>99</v>
      </c>
      <c r="AQ992" t="s">
        <v>102</v>
      </c>
      <c r="AV992" t="s">
        <v>98</v>
      </c>
      <c r="AX992" t="s">
        <v>159</v>
      </c>
      <c r="AZ992" t="s">
        <v>535</v>
      </c>
      <c r="BF992" t="s">
        <v>3253</v>
      </c>
      <c r="BG992" t="s">
        <v>98</v>
      </c>
      <c r="BH992" t="s">
        <v>98</v>
      </c>
      <c r="BI992" t="s">
        <v>98</v>
      </c>
      <c r="BJ992" t="s">
        <v>291</v>
      </c>
      <c r="BK992" t="s">
        <v>292</v>
      </c>
      <c r="BU992">
        <v>6</v>
      </c>
      <c r="BW992">
        <v>0.75</v>
      </c>
      <c r="BX992" t="s">
        <v>2206</v>
      </c>
      <c r="BZ992" t="s">
        <v>441</v>
      </c>
      <c r="CA992" t="s">
        <v>3254</v>
      </c>
      <c r="CB992" t="s">
        <v>159</v>
      </c>
      <c r="CC992">
        <v>196</v>
      </c>
      <c r="CD992">
        <v>0.59</v>
      </c>
      <c r="CE992">
        <v>48.06</v>
      </c>
      <c r="CF992">
        <v>5323</v>
      </c>
      <c r="CL992" t="s">
        <v>98</v>
      </c>
      <c r="CM992" t="s">
        <v>291</v>
      </c>
      <c r="CN992" t="s">
        <v>2156</v>
      </c>
      <c r="CO992" s="1">
        <v>43073</v>
      </c>
      <c r="CP992" s="1">
        <v>43595</v>
      </c>
    </row>
    <row r="993" spans="1:94" x14ac:dyDescent="0.25">
      <c r="A993" s="4" t="s">
        <v>3255</v>
      </c>
      <c r="B993" t="str">
        <f xml:space="preserve"> "" &amp; 706411060731</f>
        <v>706411060731</v>
      </c>
      <c r="C993" t="s">
        <v>3256</v>
      </c>
      <c r="D993" t="s">
        <v>3251</v>
      </c>
      <c r="E993" t="s">
        <v>3252</v>
      </c>
      <c r="F993" t="s">
        <v>2113</v>
      </c>
      <c r="G993">
        <v>1</v>
      </c>
      <c r="H993">
        <v>1</v>
      </c>
      <c r="I993" t="s">
        <v>97</v>
      </c>
      <c r="J993" s="32">
        <v>159.94999999999999</v>
      </c>
      <c r="K993" s="32">
        <v>479.85</v>
      </c>
      <c r="L993">
        <v>0</v>
      </c>
      <c r="N993">
        <v>0</v>
      </c>
      <c r="Q993" t="s">
        <v>291</v>
      </c>
      <c r="R993" s="32">
        <v>319.95</v>
      </c>
      <c r="S993">
        <v>12.75</v>
      </c>
      <c r="T993">
        <v>44</v>
      </c>
      <c r="U993">
        <v>44</v>
      </c>
      <c r="W993">
        <v>9.26</v>
      </c>
      <c r="X993">
        <v>1</v>
      </c>
      <c r="Y993">
        <v>9</v>
      </c>
      <c r="Z993">
        <v>22.75</v>
      </c>
      <c r="AA993">
        <v>8.6300000000000008</v>
      </c>
      <c r="AB993">
        <v>1.0229999999999999</v>
      </c>
      <c r="AC993">
        <v>11.02</v>
      </c>
      <c r="AK993" t="s">
        <v>98</v>
      </c>
      <c r="AM993" t="s">
        <v>98</v>
      </c>
      <c r="AN993" t="s">
        <v>291</v>
      </c>
      <c r="AO993" t="s">
        <v>98</v>
      </c>
      <c r="AP993" t="s">
        <v>99</v>
      </c>
      <c r="AQ993" t="s">
        <v>102</v>
      </c>
      <c r="AV993" t="s">
        <v>98</v>
      </c>
      <c r="AX993" t="s">
        <v>179</v>
      </c>
      <c r="AZ993" t="s">
        <v>535</v>
      </c>
      <c r="BF993" t="s">
        <v>3257</v>
      </c>
      <c r="BG993" t="s">
        <v>98</v>
      </c>
      <c r="BH993" t="s">
        <v>98</v>
      </c>
      <c r="BI993" t="s">
        <v>98</v>
      </c>
      <c r="BJ993" t="s">
        <v>291</v>
      </c>
      <c r="BK993" t="s">
        <v>292</v>
      </c>
      <c r="BU993">
        <v>6</v>
      </c>
      <c r="BW993">
        <v>0.75</v>
      </c>
      <c r="BX993" t="s">
        <v>2206</v>
      </c>
      <c r="BY993" t="s">
        <v>98</v>
      </c>
      <c r="BZ993" t="s">
        <v>179</v>
      </c>
      <c r="CA993" t="s">
        <v>3254</v>
      </c>
      <c r="CB993" t="s">
        <v>179</v>
      </c>
      <c r="CC993">
        <v>196</v>
      </c>
      <c r="CD993">
        <v>0.59</v>
      </c>
      <c r="CE993">
        <v>48.06</v>
      </c>
      <c r="CF993">
        <v>5323</v>
      </c>
      <c r="CL993" t="s">
        <v>98</v>
      </c>
      <c r="CM993" t="s">
        <v>291</v>
      </c>
      <c r="CN993" t="s">
        <v>2156</v>
      </c>
      <c r="CO993" s="1">
        <v>43256</v>
      </c>
      <c r="CP993" s="1">
        <v>43595</v>
      </c>
    </row>
    <row r="994" spans="1:94" x14ac:dyDescent="0.25">
      <c r="A994" s="4" t="s">
        <v>3258</v>
      </c>
      <c r="B994" t="str">
        <f xml:space="preserve"> "" &amp; 706411058691</f>
        <v>706411058691</v>
      </c>
      <c r="C994" t="s">
        <v>3256</v>
      </c>
      <c r="D994" t="s">
        <v>3251</v>
      </c>
      <c r="E994" t="s">
        <v>3252</v>
      </c>
      <c r="F994" t="s">
        <v>2113</v>
      </c>
      <c r="G994">
        <v>1</v>
      </c>
      <c r="H994">
        <v>1</v>
      </c>
      <c r="I994" t="s">
        <v>97</v>
      </c>
      <c r="J994" s="32">
        <v>159.94999999999999</v>
      </c>
      <c r="K994" s="32">
        <v>479.85</v>
      </c>
      <c r="L994">
        <v>0</v>
      </c>
      <c r="N994">
        <v>0</v>
      </c>
      <c r="Q994" t="s">
        <v>291</v>
      </c>
      <c r="R994" s="32">
        <v>319.95</v>
      </c>
      <c r="S994">
        <v>12.75</v>
      </c>
      <c r="T994">
        <v>44</v>
      </c>
      <c r="U994">
        <v>44</v>
      </c>
      <c r="W994">
        <v>9.26</v>
      </c>
      <c r="X994">
        <v>1</v>
      </c>
      <c r="Y994">
        <v>9</v>
      </c>
      <c r="Z994">
        <v>22.75</v>
      </c>
      <c r="AA994">
        <v>8.6300000000000008</v>
      </c>
      <c r="AB994">
        <v>1.0229999999999999</v>
      </c>
      <c r="AC994">
        <v>11.02</v>
      </c>
      <c r="AK994" t="s">
        <v>98</v>
      </c>
      <c r="AM994" t="s">
        <v>98</v>
      </c>
      <c r="AN994" t="s">
        <v>291</v>
      </c>
      <c r="AO994" t="s">
        <v>98</v>
      </c>
      <c r="AP994" t="s">
        <v>99</v>
      </c>
      <c r="AQ994" t="s">
        <v>102</v>
      </c>
      <c r="AV994" t="s">
        <v>98</v>
      </c>
      <c r="AX994" t="s">
        <v>245</v>
      </c>
      <c r="AZ994" t="s">
        <v>535</v>
      </c>
      <c r="BF994" t="s">
        <v>3259</v>
      </c>
      <c r="BG994" t="s">
        <v>98</v>
      </c>
      <c r="BH994" t="s">
        <v>98</v>
      </c>
      <c r="BI994" t="s">
        <v>98</v>
      </c>
      <c r="BJ994" t="s">
        <v>291</v>
      </c>
      <c r="BK994" t="s">
        <v>292</v>
      </c>
      <c r="BU994">
        <v>6</v>
      </c>
      <c r="BW994">
        <v>0.75</v>
      </c>
      <c r="BX994" t="s">
        <v>2206</v>
      </c>
      <c r="BY994" t="s">
        <v>98</v>
      </c>
      <c r="BZ994" t="s">
        <v>2159</v>
      </c>
      <c r="CA994" t="s">
        <v>3254</v>
      </c>
      <c r="CB994" t="s">
        <v>245</v>
      </c>
      <c r="CC994">
        <v>196</v>
      </c>
      <c r="CD994">
        <v>0.59</v>
      </c>
      <c r="CE994">
        <v>48.06</v>
      </c>
      <c r="CF994">
        <v>5323</v>
      </c>
      <c r="CL994" t="s">
        <v>98</v>
      </c>
      <c r="CM994" t="s">
        <v>291</v>
      </c>
      <c r="CN994" t="s">
        <v>2156</v>
      </c>
      <c r="CO994" s="1">
        <v>43073</v>
      </c>
      <c r="CP994" s="1">
        <v>43595</v>
      </c>
    </row>
    <row r="995" spans="1:94" x14ac:dyDescent="0.25">
      <c r="A995" s="4" t="s">
        <v>3260</v>
      </c>
      <c r="B995" t="str">
        <f xml:space="preserve"> "" &amp; 706411058707</f>
        <v>706411058707</v>
      </c>
      <c r="C995" t="s">
        <v>2280</v>
      </c>
      <c r="D995" t="s">
        <v>3251</v>
      </c>
      <c r="E995" t="s">
        <v>3252</v>
      </c>
      <c r="F995" t="s">
        <v>2113</v>
      </c>
      <c r="G995">
        <v>1</v>
      </c>
      <c r="H995">
        <v>1</v>
      </c>
      <c r="I995" t="s">
        <v>97</v>
      </c>
      <c r="J995" s="32">
        <v>159.94999999999999</v>
      </c>
      <c r="K995" s="32">
        <v>479.85</v>
      </c>
      <c r="L995">
        <v>0</v>
      </c>
      <c r="N995">
        <v>0</v>
      </c>
      <c r="Q995" t="s">
        <v>291</v>
      </c>
      <c r="R995" s="32">
        <v>319.95</v>
      </c>
      <c r="S995">
        <v>12.75</v>
      </c>
      <c r="T995">
        <v>44</v>
      </c>
      <c r="U995">
        <v>44</v>
      </c>
      <c r="W995">
        <v>9.26</v>
      </c>
      <c r="X995">
        <v>1</v>
      </c>
      <c r="Y995">
        <v>9</v>
      </c>
      <c r="Z995">
        <v>22.75</v>
      </c>
      <c r="AA995">
        <v>8.6300000000000008</v>
      </c>
      <c r="AB995">
        <v>1.0229999999999999</v>
      </c>
      <c r="AC995">
        <v>11.02</v>
      </c>
      <c r="AK995" t="s">
        <v>98</v>
      </c>
      <c r="AM995" t="s">
        <v>98</v>
      </c>
      <c r="AN995" t="s">
        <v>291</v>
      </c>
      <c r="AO995" t="s">
        <v>98</v>
      </c>
      <c r="AP995" t="s">
        <v>99</v>
      </c>
      <c r="AQ995" t="s">
        <v>102</v>
      </c>
      <c r="AV995" t="s">
        <v>98</v>
      </c>
      <c r="AX995" t="s">
        <v>441</v>
      </c>
      <c r="AZ995" t="s">
        <v>535</v>
      </c>
      <c r="BF995" t="s">
        <v>3261</v>
      </c>
      <c r="BG995" t="s">
        <v>98</v>
      </c>
      <c r="BH995" t="s">
        <v>98</v>
      </c>
      <c r="BI995" t="s">
        <v>98</v>
      </c>
      <c r="BJ995" t="s">
        <v>291</v>
      </c>
      <c r="BK995" t="s">
        <v>292</v>
      </c>
      <c r="BU995">
        <v>6</v>
      </c>
      <c r="BW995">
        <v>0.75</v>
      </c>
      <c r="BX995" t="s">
        <v>2206</v>
      </c>
      <c r="BZ995" t="s">
        <v>441</v>
      </c>
      <c r="CA995" t="s">
        <v>3254</v>
      </c>
      <c r="CB995" t="s">
        <v>441</v>
      </c>
      <c r="CC995">
        <v>196</v>
      </c>
      <c r="CD995">
        <v>0.59</v>
      </c>
      <c r="CE995">
        <v>48.06</v>
      </c>
      <c r="CF995">
        <v>5323</v>
      </c>
      <c r="CL995" t="s">
        <v>98</v>
      </c>
      <c r="CM995" t="s">
        <v>291</v>
      </c>
      <c r="CN995" t="s">
        <v>2156</v>
      </c>
      <c r="CO995" s="1">
        <v>43073</v>
      </c>
      <c r="CP995" s="1">
        <v>43595</v>
      </c>
    </row>
    <row r="996" spans="1:94" x14ac:dyDescent="0.25">
      <c r="A996" s="4" t="s">
        <v>3262</v>
      </c>
      <c r="B996" t="str">
        <f xml:space="preserve"> "" &amp; 706411058684</f>
        <v>706411058684</v>
      </c>
      <c r="C996" t="s">
        <v>2280</v>
      </c>
      <c r="D996" t="s">
        <v>3251</v>
      </c>
      <c r="E996" t="s">
        <v>3252</v>
      </c>
      <c r="F996" t="s">
        <v>2113</v>
      </c>
      <c r="G996">
        <v>1</v>
      </c>
      <c r="H996">
        <v>1</v>
      </c>
      <c r="I996" t="s">
        <v>97</v>
      </c>
      <c r="J996" s="32">
        <v>159.94999999999999</v>
      </c>
      <c r="K996" s="32">
        <v>479.85</v>
      </c>
      <c r="L996">
        <v>0</v>
      </c>
      <c r="N996">
        <v>0</v>
      </c>
      <c r="Q996" t="s">
        <v>291</v>
      </c>
      <c r="R996" s="32">
        <v>319.95</v>
      </c>
      <c r="S996">
        <v>12.75</v>
      </c>
      <c r="T996">
        <v>44</v>
      </c>
      <c r="U996">
        <v>44</v>
      </c>
      <c r="W996">
        <v>9.26</v>
      </c>
      <c r="X996">
        <v>1</v>
      </c>
      <c r="Y996">
        <v>9</v>
      </c>
      <c r="Z996">
        <v>22.75</v>
      </c>
      <c r="AA996">
        <v>8.6300000000000008</v>
      </c>
      <c r="AB996">
        <v>1.0229999999999999</v>
      </c>
      <c r="AC996">
        <v>11.02</v>
      </c>
      <c r="AK996" t="s">
        <v>98</v>
      </c>
      <c r="AM996" t="s">
        <v>98</v>
      </c>
      <c r="AN996" t="s">
        <v>291</v>
      </c>
      <c r="AO996" t="s">
        <v>98</v>
      </c>
      <c r="AP996" t="s">
        <v>99</v>
      </c>
      <c r="AQ996" t="s">
        <v>102</v>
      </c>
      <c r="AV996" t="s">
        <v>98</v>
      </c>
      <c r="AX996" t="s">
        <v>306</v>
      </c>
      <c r="AZ996" t="s">
        <v>535</v>
      </c>
      <c r="BF996" t="s">
        <v>3263</v>
      </c>
      <c r="BG996" t="s">
        <v>98</v>
      </c>
      <c r="BH996" t="s">
        <v>98</v>
      </c>
      <c r="BI996" t="s">
        <v>98</v>
      </c>
      <c r="BJ996" t="s">
        <v>291</v>
      </c>
      <c r="BK996" t="s">
        <v>292</v>
      </c>
      <c r="BU996">
        <v>6</v>
      </c>
      <c r="BW996">
        <v>0.75</v>
      </c>
      <c r="BX996" t="s">
        <v>2206</v>
      </c>
      <c r="BY996" t="s">
        <v>98</v>
      </c>
      <c r="BZ996" t="s">
        <v>306</v>
      </c>
      <c r="CA996" t="s">
        <v>3254</v>
      </c>
      <c r="CB996" t="s">
        <v>306</v>
      </c>
      <c r="CC996">
        <v>196</v>
      </c>
      <c r="CD996">
        <v>0.59</v>
      </c>
      <c r="CE996">
        <v>48.06</v>
      </c>
      <c r="CF996">
        <v>5323</v>
      </c>
      <c r="CL996" t="s">
        <v>98</v>
      </c>
      <c r="CM996" t="s">
        <v>291</v>
      </c>
      <c r="CN996" t="s">
        <v>2156</v>
      </c>
      <c r="CO996" s="1">
        <v>43073</v>
      </c>
      <c r="CP996" s="1">
        <v>43595</v>
      </c>
    </row>
    <row r="997" spans="1:94" x14ac:dyDescent="0.25">
      <c r="A997" s="4" t="s">
        <v>3264</v>
      </c>
      <c r="B997" t="str">
        <f xml:space="preserve"> "" &amp; 706411059315</f>
        <v>706411059315</v>
      </c>
      <c r="C997" t="s">
        <v>3265</v>
      </c>
      <c r="D997" t="s">
        <v>3266</v>
      </c>
      <c r="E997" t="s">
        <v>3267</v>
      </c>
      <c r="F997" t="s">
        <v>2113</v>
      </c>
      <c r="G997">
        <v>1</v>
      </c>
      <c r="H997">
        <v>1</v>
      </c>
      <c r="I997" t="s">
        <v>97</v>
      </c>
      <c r="J997" s="32">
        <v>159.94999999999999</v>
      </c>
      <c r="K997" s="32">
        <v>479.85</v>
      </c>
      <c r="L997">
        <v>0</v>
      </c>
      <c r="N997">
        <v>0</v>
      </c>
      <c r="Q997" t="s">
        <v>291</v>
      </c>
      <c r="R997" s="32">
        <v>319.95</v>
      </c>
      <c r="S997">
        <v>10</v>
      </c>
      <c r="T997">
        <v>52</v>
      </c>
      <c r="U997">
        <v>52</v>
      </c>
      <c r="W997">
        <v>10.8</v>
      </c>
      <c r="X997">
        <v>1</v>
      </c>
      <c r="AB997">
        <v>1.202</v>
      </c>
      <c r="AC997">
        <v>12.57</v>
      </c>
      <c r="AK997" t="s">
        <v>98</v>
      </c>
      <c r="AM997" t="s">
        <v>98</v>
      </c>
      <c r="AN997" t="s">
        <v>291</v>
      </c>
      <c r="AO997" t="s">
        <v>98</v>
      </c>
      <c r="AP997" t="s">
        <v>99</v>
      </c>
      <c r="AQ997" t="s">
        <v>102</v>
      </c>
      <c r="AV997" t="s">
        <v>98</v>
      </c>
      <c r="AX997" t="s">
        <v>159</v>
      </c>
      <c r="AZ997" t="s">
        <v>535</v>
      </c>
      <c r="BF997" t="s">
        <v>3268</v>
      </c>
      <c r="BG997" t="s">
        <v>98</v>
      </c>
      <c r="BH997" t="s">
        <v>98</v>
      </c>
      <c r="BI997" t="s">
        <v>98</v>
      </c>
      <c r="BJ997" t="s">
        <v>291</v>
      </c>
      <c r="BK997" t="s">
        <v>292</v>
      </c>
      <c r="BU997">
        <v>6</v>
      </c>
      <c r="BW997">
        <v>0.75</v>
      </c>
      <c r="BX997" t="s">
        <v>2206</v>
      </c>
      <c r="BZ997" t="s">
        <v>159</v>
      </c>
      <c r="CA997" t="s">
        <v>3269</v>
      </c>
      <c r="CB997" t="s">
        <v>159</v>
      </c>
      <c r="CC997">
        <v>190</v>
      </c>
      <c r="CD997">
        <v>0.52600000000000002</v>
      </c>
      <c r="CE997">
        <v>29.44</v>
      </c>
      <c r="CF997">
        <v>5669.67</v>
      </c>
      <c r="CL997" t="s">
        <v>98</v>
      </c>
      <c r="CM997" t="s">
        <v>291</v>
      </c>
      <c r="CN997" t="s">
        <v>3270</v>
      </c>
      <c r="CO997" s="1">
        <v>43152</v>
      </c>
      <c r="CP997" s="1">
        <v>43595</v>
      </c>
    </row>
    <row r="998" spans="1:94" x14ac:dyDescent="0.25">
      <c r="A998" s="4" t="s">
        <v>3271</v>
      </c>
      <c r="B998" t="str">
        <f xml:space="preserve"> "" &amp; 706411060724</f>
        <v>706411060724</v>
      </c>
      <c r="C998" t="s">
        <v>3272</v>
      </c>
      <c r="D998" t="s">
        <v>3266</v>
      </c>
      <c r="E998" t="s">
        <v>3267</v>
      </c>
      <c r="F998" t="s">
        <v>2113</v>
      </c>
      <c r="G998">
        <v>1</v>
      </c>
      <c r="H998">
        <v>1</v>
      </c>
      <c r="I998" t="s">
        <v>97</v>
      </c>
      <c r="J998" s="32">
        <v>159.94999999999999</v>
      </c>
      <c r="K998" s="32">
        <v>479.85</v>
      </c>
      <c r="L998">
        <v>0</v>
      </c>
      <c r="N998">
        <v>0</v>
      </c>
      <c r="Q998" t="s">
        <v>291</v>
      </c>
      <c r="R998" s="32">
        <v>319.95</v>
      </c>
      <c r="S998">
        <v>10</v>
      </c>
      <c r="T998">
        <v>52</v>
      </c>
      <c r="U998">
        <v>52</v>
      </c>
      <c r="W998">
        <v>10.8</v>
      </c>
      <c r="X998">
        <v>1</v>
      </c>
      <c r="Y998">
        <v>9</v>
      </c>
      <c r="Z998">
        <v>26.75</v>
      </c>
      <c r="AA998">
        <v>8.6300000000000008</v>
      </c>
      <c r="AB998">
        <v>1.202</v>
      </c>
      <c r="AC998">
        <v>12.57</v>
      </c>
      <c r="AK998" t="s">
        <v>98</v>
      </c>
      <c r="AM998" t="s">
        <v>98</v>
      </c>
      <c r="AN998" t="s">
        <v>291</v>
      </c>
      <c r="AO998" t="s">
        <v>98</v>
      </c>
      <c r="AP998" t="s">
        <v>99</v>
      </c>
      <c r="AQ998" t="s">
        <v>102</v>
      </c>
      <c r="AV998" t="s">
        <v>98</v>
      </c>
      <c r="AX998" t="s">
        <v>179</v>
      </c>
      <c r="AZ998" t="s">
        <v>2149</v>
      </c>
      <c r="BF998" t="s">
        <v>3273</v>
      </c>
      <c r="BG998" t="s">
        <v>98</v>
      </c>
      <c r="BH998" t="s">
        <v>98</v>
      </c>
      <c r="BI998" t="s">
        <v>98</v>
      </c>
      <c r="BJ998" t="s">
        <v>291</v>
      </c>
      <c r="BK998" t="s">
        <v>292</v>
      </c>
      <c r="BU998">
        <v>6</v>
      </c>
      <c r="BW998">
        <v>0.75</v>
      </c>
      <c r="BX998" t="s">
        <v>2206</v>
      </c>
      <c r="BY998" t="s">
        <v>98</v>
      </c>
      <c r="BZ998" t="s">
        <v>179</v>
      </c>
      <c r="CA998" t="s">
        <v>3269</v>
      </c>
      <c r="CB998" t="s">
        <v>179</v>
      </c>
      <c r="CC998">
        <v>190</v>
      </c>
      <c r="CD998">
        <v>0.52600000000000002</v>
      </c>
      <c r="CE998">
        <v>29.44</v>
      </c>
      <c r="CF998">
        <v>5669.67</v>
      </c>
      <c r="CL998" t="s">
        <v>98</v>
      </c>
      <c r="CM998" t="s">
        <v>291</v>
      </c>
      <c r="CN998" t="s">
        <v>2937</v>
      </c>
      <c r="CO998" s="1">
        <v>43256</v>
      </c>
      <c r="CP998" s="1">
        <v>43595</v>
      </c>
    </row>
    <row r="999" spans="1:94" x14ac:dyDescent="0.25">
      <c r="A999" s="4" t="s">
        <v>3274</v>
      </c>
      <c r="B999" t="str">
        <f xml:space="preserve"> "" &amp; 706411054426</f>
        <v>706411054426</v>
      </c>
      <c r="C999" t="s">
        <v>3272</v>
      </c>
      <c r="D999" t="s">
        <v>3266</v>
      </c>
      <c r="E999" t="s">
        <v>3267</v>
      </c>
      <c r="F999" t="s">
        <v>2113</v>
      </c>
      <c r="G999">
        <v>1</v>
      </c>
      <c r="H999">
        <v>1</v>
      </c>
      <c r="I999" t="s">
        <v>97</v>
      </c>
      <c r="J999" s="32">
        <v>159.94999999999999</v>
      </c>
      <c r="K999" s="32">
        <v>479.85</v>
      </c>
      <c r="L999">
        <v>0</v>
      </c>
      <c r="N999">
        <v>0</v>
      </c>
      <c r="Q999" t="s">
        <v>291</v>
      </c>
      <c r="R999" s="32">
        <v>319.95</v>
      </c>
      <c r="S999">
        <v>10</v>
      </c>
      <c r="T999">
        <v>52</v>
      </c>
      <c r="U999">
        <v>52</v>
      </c>
      <c r="W999">
        <v>10.8</v>
      </c>
      <c r="X999">
        <v>1</v>
      </c>
      <c r="Y999">
        <v>9</v>
      </c>
      <c r="Z999">
        <v>26.75</v>
      </c>
      <c r="AA999">
        <v>8.6300000000000008</v>
      </c>
      <c r="AB999">
        <v>1.202</v>
      </c>
      <c r="AC999">
        <v>12.57</v>
      </c>
      <c r="AK999" t="s">
        <v>98</v>
      </c>
      <c r="AM999" t="s">
        <v>98</v>
      </c>
      <c r="AN999" t="s">
        <v>291</v>
      </c>
      <c r="AO999" t="s">
        <v>98</v>
      </c>
      <c r="AP999" t="s">
        <v>99</v>
      </c>
      <c r="AQ999" t="s">
        <v>102</v>
      </c>
      <c r="AV999" t="s">
        <v>98</v>
      </c>
      <c r="AX999" t="s">
        <v>245</v>
      </c>
      <c r="AZ999" t="s">
        <v>535</v>
      </c>
      <c r="BF999" t="s">
        <v>3275</v>
      </c>
      <c r="BG999" t="s">
        <v>98</v>
      </c>
      <c r="BH999" t="s">
        <v>98</v>
      </c>
      <c r="BI999" t="s">
        <v>98</v>
      </c>
      <c r="BJ999" t="s">
        <v>291</v>
      </c>
      <c r="BK999" t="s">
        <v>292</v>
      </c>
      <c r="BU999">
        <v>6</v>
      </c>
      <c r="BW999">
        <v>0.75</v>
      </c>
      <c r="BX999" t="s">
        <v>2206</v>
      </c>
      <c r="BZ999" t="s">
        <v>2159</v>
      </c>
      <c r="CA999" t="s">
        <v>3269</v>
      </c>
      <c r="CB999" t="s">
        <v>245</v>
      </c>
      <c r="CC999">
        <v>190</v>
      </c>
      <c r="CD999">
        <v>0.52600000000000002</v>
      </c>
      <c r="CE999">
        <v>29.44</v>
      </c>
      <c r="CF999">
        <v>5669</v>
      </c>
      <c r="CL999" t="s">
        <v>98</v>
      </c>
      <c r="CM999" t="s">
        <v>291</v>
      </c>
      <c r="CN999" t="s">
        <v>3270</v>
      </c>
      <c r="CO999" s="1">
        <v>42382</v>
      </c>
      <c r="CP999" s="1">
        <v>43595</v>
      </c>
    </row>
    <row r="1000" spans="1:94" x14ac:dyDescent="0.25">
      <c r="A1000" s="4" t="s">
        <v>3276</v>
      </c>
      <c r="B1000" t="str">
        <f xml:space="preserve"> "" &amp; 706411054419</f>
        <v>706411054419</v>
      </c>
      <c r="C1000" t="s">
        <v>3272</v>
      </c>
      <c r="D1000" t="s">
        <v>3266</v>
      </c>
      <c r="E1000" t="s">
        <v>3267</v>
      </c>
      <c r="F1000" t="s">
        <v>2113</v>
      </c>
      <c r="G1000">
        <v>1</v>
      </c>
      <c r="H1000">
        <v>1</v>
      </c>
      <c r="I1000" t="s">
        <v>97</v>
      </c>
      <c r="J1000" s="32">
        <v>159.94999999999999</v>
      </c>
      <c r="K1000" s="32">
        <v>479.85</v>
      </c>
      <c r="L1000">
        <v>0</v>
      </c>
      <c r="N1000">
        <v>0</v>
      </c>
      <c r="Q1000" t="s">
        <v>291</v>
      </c>
      <c r="R1000" s="32">
        <v>319.95</v>
      </c>
      <c r="S1000">
        <v>10</v>
      </c>
      <c r="T1000">
        <v>52</v>
      </c>
      <c r="U1000">
        <v>52</v>
      </c>
      <c r="W1000">
        <v>10.8</v>
      </c>
      <c r="X1000">
        <v>1</v>
      </c>
      <c r="Y1000">
        <v>9</v>
      </c>
      <c r="Z1000">
        <v>26.75</v>
      </c>
      <c r="AA1000">
        <v>8.6300000000000008</v>
      </c>
      <c r="AB1000">
        <v>1.202</v>
      </c>
      <c r="AC1000">
        <v>12.57</v>
      </c>
      <c r="AK1000" t="s">
        <v>98</v>
      </c>
      <c r="AM1000" t="s">
        <v>98</v>
      </c>
      <c r="AN1000" t="s">
        <v>291</v>
      </c>
      <c r="AO1000" t="s">
        <v>98</v>
      </c>
      <c r="AP1000" t="s">
        <v>99</v>
      </c>
      <c r="AQ1000" t="s">
        <v>102</v>
      </c>
      <c r="AV1000" t="s">
        <v>98</v>
      </c>
      <c r="AX1000" t="s">
        <v>441</v>
      </c>
      <c r="AZ1000" t="s">
        <v>2149</v>
      </c>
      <c r="BF1000" t="s">
        <v>3277</v>
      </c>
      <c r="BG1000" t="s">
        <v>98</v>
      </c>
      <c r="BH1000" t="s">
        <v>98</v>
      </c>
      <c r="BI1000" t="s">
        <v>98</v>
      </c>
      <c r="BJ1000" t="s">
        <v>291</v>
      </c>
      <c r="BK1000" t="s">
        <v>292</v>
      </c>
      <c r="BU1000">
        <v>6</v>
      </c>
      <c r="BW1000">
        <v>0.75</v>
      </c>
      <c r="BX1000" t="s">
        <v>2206</v>
      </c>
      <c r="BY1000" t="s">
        <v>291</v>
      </c>
      <c r="BZ1000" t="s">
        <v>441</v>
      </c>
      <c r="CA1000" t="s">
        <v>3269</v>
      </c>
      <c r="CB1000" t="s">
        <v>441</v>
      </c>
      <c r="CC1000">
        <v>190</v>
      </c>
      <c r="CD1000">
        <v>0.52600000000000002</v>
      </c>
      <c r="CE1000">
        <v>29.44</v>
      </c>
      <c r="CF1000">
        <v>5669.67</v>
      </c>
      <c r="CL1000" t="s">
        <v>98</v>
      </c>
      <c r="CM1000" t="s">
        <v>291</v>
      </c>
      <c r="CN1000" t="s">
        <v>2937</v>
      </c>
      <c r="CO1000" s="1">
        <v>42382</v>
      </c>
      <c r="CP1000" s="1">
        <v>43595</v>
      </c>
    </row>
    <row r="1001" spans="1:94" x14ac:dyDescent="0.25">
      <c r="A1001" s="4" t="s">
        <v>3278</v>
      </c>
      <c r="B1001" t="str">
        <f xml:space="preserve"> "" &amp; 706411054402</f>
        <v>706411054402</v>
      </c>
      <c r="C1001" t="s">
        <v>3279</v>
      </c>
      <c r="D1001" t="s">
        <v>3266</v>
      </c>
      <c r="E1001" t="s">
        <v>3267</v>
      </c>
      <c r="F1001" t="s">
        <v>2113</v>
      </c>
      <c r="G1001">
        <v>1</v>
      </c>
      <c r="H1001">
        <v>1</v>
      </c>
      <c r="I1001" t="s">
        <v>97</v>
      </c>
      <c r="J1001" s="32">
        <v>159.94999999999999</v>
      </c>
      <c r="K1001" s="32">
        <v>479.85</v>
      </c>
      <c r="L1001">
        <v>0</v>
      </c>
      <c r="N1001">
        <v>0</v>
      </c>
      <c r="Q1001" t="s">
        <v>291</v>
      </c>
      <c r="R1001" s="32">
        <v>319.95</v>
      </c>
      <c r="S1001">
        <v>10</v>
      </c>
      <c r="T1001">
        <v>52</v>
      </c>
      <c r="U1001">
        <v>52</v>
      </c>
      <c r="W1001">
        <v>10.8</v>
      </c>
      <c r="X1001">
        <v>1</v>
      </c>
      <c r="Y1001">
        <v>9</v>
      </c>
      <c r="Z1001">
        <v>26.75</v>
      </c>
      <c r="AA1001">
        <v>8.6300000000000008</v>
      </c>
      <c r="AB1001">
        <v>1.202</v>
      </c>
      <c r="AC1001">
        <v>12.57</v>
      </c>
      <c r="AK1001" t="s">
        <v>98</v>
      </c>
      <c r="AM1001" t="s">
        <v>98</v>
      </c>
      <c r="AN1001" t="s">
        <v>291</v>
      </c>
      <c r="AO1001" t="s">
        <v>98</v>
      </c>
      <c r="AP1001" t="s">
        <v>99</v>
      </c>
      <c r="AQ1001" t="s">
        <v>102</v>
      </c>
      <c r="AV1001" t="s">
        <v>98</v>
      </c>
      <c r="AX1001" t="s">
        <v>306</v>
      </c>
      <c r="AZ1001" t="s">
        <v>2149</v>
      </c>
      <c r="BF1001" t="s">
        <v>3280</v>
      </c>
      <c r="BG1001" t="s">
        <v>98</v>
      </c>
      <c r="BH1001" t="s">
        <v>98</v>
      </c>
      <c r="BI1001" t="s">
        <v>98</v>
      </c>
      <c r="BJ1001" t="s">
        <v>291</v>
      </c>
      <c r="BK1001" t="s">
        <v>292</v>
      </c>
      <c r="BU1001" t="s">
        <v>3217</v>
      </c>
      <c r="BW1001">
        <v>0.75</v>
      </c>
      <c r="BX1001" t="s">
        <v>2206</v>
      </c>
      <c r="BZ1001" t="s">
        <v>306</v>
      </c>
      <c r="CA1001" t="s">
        <v>3269</v>
      </c>
      <c r="CB1001" t="s">
        <v>306</v>
      </c>
      <c r="CC1001">
        <v>190</v>
      </c>
      <c r="CD1001">
        <v>0.52600000000000002</v>
      </c>
      <c r="CE1001">
        <v>29.44</v>
      </c>
      <c r="CF1001">
        <v>5669.67</v>
      </c>
      <c r="CL1001" t="s">
        <v>98</v>
      </c>
      <c r="CM1001" t="s">
        <v>291</v>
      </c>
      <c r="CN1001" t="s">
        <v>2937</v>
      </c>
      <c r="CO1001" s="1">
        <v>42382</v>
      </c>
      <c r="CP1001" s="1">
        <v>43595</v>
      </c>
    </row>
    <row r="1002" spans="1:94" x14ac:dyDescent="0.25">
      <c r="A1002" s="4" t="s">
        <v>3281</v>
      </c>
      <c r="B1002" t="str">
        <f xml:space="preserve"> "" &amp; 706411059018</f>
        <v>706411059018</v>
      </c>
      <c r="C1002" t="s">
        <v>2818</v>
      </c>
      <c r="D1002" t="s">
        <v>3282</v>
      </c>
      <c r="E1002" t="s">
        <v>3283</v>
      </c>
      <c r="F1002" t="s">
        <v>2113</v>
      </c>
      <c r="G1002">
        <v>1</v>
      </c>
      <c r="H1002">
        <v>1</v>
      </c>
      <c r="I1002" t="s">
        <v>97</v>
      </c>
      <c r="J1002" s="32">
        <v>339.95</v>
      </c>
      <c r="K1002" s="32">
        <v>1019.85</v>
      </c>
      <c r="L1002">
        <v>0</v>
      </c>
      <c r="N1002">
        <v>0</v>
      </c>
      <c r="Q1002" t="s">
        <v>291</v>
      </c>
      <c r="R1002" s="32">
        <v>679.95</v>
      </c>
      <c r="S1002">
        <v>22.5</v>
      </c>
      <c r="T1002">
        <v>60</v>
      </c>
      <c r="U1002">
        <v>60</v>
      </c>
      <c r="W1002">
        <v>29.39</v>
      </c>
      <c r="X1002">
        <v>1</v>
      </c>
      <c r="Y1002">
        <v>16.38</v>
      </c>
      <c r="Z1002">
        <v>36.25</v>
      </c>
      <c r="AA1002">
        <v>18.13</v>
      </c>
      <c r="AB1002">
        <v>6.23</v>
      </c>
      <c r="AC1002">
        <v>35.94</v>
      </c>
      <c r="AE1002">
        <v>1</v>
      </c>
      <c r="AF1002" t="s">
        <v>3284</v>
      </c>
      <c r="AG1002">
        <v>18</v>
      </c>
      <c r="AK1002" t="s">
        <v>291</v>
      </c>
      <c r="AM1002" t="s">
        <v>98</v>
      </c>
      <c r="AN1002" t="s">
        <v>98</v>
      </c>
      <c r="AO1002" t="s">
        <v>291</v>
      </c>
      <c r="AP1002" t="s">
        <v>99</v>
      </c>
      <c r="AQ1002" t="s">
        <v>102</v>
      </c>
      <c r="AV1002" t="s">
        <v>98</v>
      </c>
      <c r="AX1002" t="s">
        <v>1095</v>
      </c>
      <c r="AZ1002" t="s">
        <v>535</v>
      </c>
      <c r="BC1002" t="s">
        <v>3285</v>
      </c>
      <c r="BF1002" t="s">
        <v>3286</v>
      </c>
      <c r="BG1002" t="s">
        <v>98</v>
      </c>
      <c r="BH1002" t="s">
        <v>98</v>
      </c>
      <c r="BI1002" t="s">
        <v>98</v>
      </c>
      <c r="BK1002" t="s">
        <v>138</v>
      </c>
      <c r="BU1002">
        <v>12</v>
      </c>
      <c r="BW1002">
        <v>0.75</v>
      </c>
      <c r="BX1002" t="s">
        <v>3212</v>
      </c>
      <c r="BY1002" t="s">
        <v>291</v>
      </c>
      <c r="BZ1002" t="s">
        <v>1095</v>
      </c>
      <c r="CA1002" t="s">
        <v>3287</v>
      </c>
      <c r="CB1002" t="s">
        <v>1095</v>
      </c>
      <c r="CC1002">
        <v>90</v>
      </c>
      <c r="CD1002">
        <v>0.44</v>
      </c>
      <c r="CE1002">
        <v>34.119999999999997</v>
      </c>
      <c r="CF1002">
        <v>5673.36</v>
      </c>
      <c r="CG1002">
        <v>3000</v>
      </c>
      <c r="CH1002">
        <v>93</v>
      </c>
      <c r="CI1002">
        <v>1627</v>
      </c>
      <c r="CJ1002">
        <v>683</v>
      </c>
      <c r="CK1002">
        <v>30000</v>
      </c>
      <c r="CL1002" t="s">
        <v>291</v>
      </c>
      <c r="CM1002" t="s">
        <v>291</v>
      </c>
      <c r="CN1002" t="s">
        <v>2156</v>
      </c>
      <c r="CO1002" s="1">
        <v>43060</v>
      </c>
      <c r="CP1002" s="1">
        <v>43595</v>
      </c>
    </row>
    <row r="1003" spans="1:94" x14ac:dyDescent="0.25">
      <c r="A1003" s="4" t="s">
        <v>3288</v>
      </c>
      <c r="B1003" t="str">
        <f xml:space="preserve"> "" &amp; 706411059025</f>
        <v>706411059025</v>
      </c>
      <c r="C1003" t="s">
        <v>2818</v>
      </c>
      <c r="D1003" t="s">
        <v>3282</v>
      </c>
      <c r="E1003" t="s">
        <v>3283</v>
      </c>
      <c r="F1003" t="s">
        <v>2113</v>
      </c>
      <c r="G1003">
        <v>1</v>
      </c>
      <c r="H1003">
        <v>1</v>
      </c>
      <c r="I1003" t="s">
        <v>97</v>
      </c>
      <c r="J1003" s="32">
        <v>339.95</v>
      </c>
      <c r="K1003" s="32">
        <v>1019.85</v>
      </c>
      <c r="L1003">
        <v>0</v>
      </c>
      <c r="N1003">
        <v>0</v>
      </c>
      <c r="Q1003" t="s">
        <v>291</v>
      </c>
      <c r="R1003" s="32">
        <v>679.95</v>
      </c>
      <c r="S1003">
        <v>22.5</v>
      </c>
      <c r="T1003">
        <v>60</v>
      </c>
      <c r="U1003">
        <v>60</v>
      </c>
      <c r="W1003">
        <v>29.39</v>
      </c>
      <c r="X1003">
        <v>1</v>
      </c>
      <c r="Y1003">
        <v>16.38</v>
      </c>
      <c r="Z1003">
        <v>36.25</v>
      </c>
      <c r="AA1003">
        <v>18.13</v>
      </c>
      <c r="AB1003">
        <v>6.23</v>
      </c>
      <c r="AC1003">
        <v>35.94</v>
      </c>
      <c r="AE1003">
        <v>1</v>
      </c>
      <c r="AF1003" t="s">
        <v>3284</v>
      </c>
      <c r="AG1003">
        <v>18</v>
      </c>
      <c r="AK1003" t="s">
        <v>291</v>
      </c>
      <c r="AM1003" t="s">
        <v>98</v>
      </c>
      <c r="AN1003" t="s">
        <v>98</v>
      </c>
      <c r="AO1003" t="s">
        <v>291</v>
      </c>
      <c r="AP1003" t="s">
        <v>99</v>
      </c>
      <c r="AQ1003" t="s">
        <v>102</v>
      </c>
      <c r="AV1003" t="s">
        <v>98</v>
      </c>
      <c r="AX1003" t="s">
        <v>245</v>
      </c>
      <c r="AZ1003" t="s">
        <v>535</v>
      </c>
      <c r="BC1003" t="s">
        <v>3285</v>
      </c>
      <c r="BF1003" t="s">
        <v>3289</v>
      </c>
      <c r="BG1003" t="s">
        <v>98</v>
      </c>
      <c r="BH1003" t="s">
        <v>98</v>
      </c>
      <c r="BI1003" t="s">
        <v>98</v>
      </c>
      <c r="BK1003" t="s">
        <v>138</v>
      </c>
      <c r="BU1003">
        <v>12</v>
      </c>
      <c r="BW1003">
        <v>0.75</v>
      </c>
      <c r="BX1003" t="s">
        <v>3212</v>
      </c>
      <c r="BY1003" t="s">
        <v>291</v>
      </c>
      <c r="BZ1003" t="s">
        <v>245</v>
      </c>
      <c r="CA1003" t="s">
        <v>3287</v>
      </c>
      <c r="CB1003" t="s">
        <v>245</v>
      </c>
      <c r="CC1003">
        <v>90</v>
      </c>
      <c r="CD1003">
        <v>0.44</v>
      </c>
      <c r="CE1003">
        <v>34.119999999999997</v>
      </c>
      <c r="CF1003">
        <v>5673.36</v>
      </c>
      <c r="CG1003">
        <v>3000</v>
      </c>
      <c r="CH1003">
        <v>93</v>
      </c>
      <c r="CI1003">
        <v>1627</v>
      </c>
      <c r="CJ1003">
        <v>683</v>
      </c>
      <c r="CK1003">
        <v>30000</v>
      </c>
      <c r="CL1003" t="s">
        <v>291</v>
      </c>
      <c r="CM1003" t="s">
        <v>291</v>
      </c>
      <c r="CN1003" t="s">
        <v>2156</v>
      </c>
      <c r="CO1003" s="1">
        <v>43060</v>
      </c>
      <c r="CP1003" s="1">
        <v>43595</v>
      </c>
    </row>
    <row r="1004" spans="1:94" x14ac:dyDescent="0.25">
      <c r="A1004" s="4" t="s">
        <v>3290</v>
      </c>
      <c r="B1004" t="str">
        <f xml:space="preserve"> "" &amp; 706411059032</f>
        <v>706411059032</v>
      </c>
      <c r="C1004" t="s">
        <v>2818</v>
      </c>
      <c r="D1004" t="s">
        <v>3282</v>
      </c>
      <c r="E1004" t="s">
        <v>3283</v>
      </c>
      <c r="F1004" t="s">
        <v>2113</v>
      </c>
      <c r="G1004">
        <v>1</v>
      </c>
      <c r="H1004">
        <v>1</v>
      </c>
      <c r="I1004" t="s">
        <v>97</v>
      </c>
      <c r="J1004" s="32">
        <v>339.95</v>
      </c>
      <c r="K1004" s="32">
        <v>1019.85</v>
      </c>
      <c r="L1004">
        <v>0</v>
      </c>
      <c r="N1004">
        <v>0</v>
      </c>
      <c r="Q1004" t="s">
        <v>291</v>
      </c>
      <c r="R1004" s="32">
        <v>679.95</v>
      </c>
      <c r="S1004">
        <v>22.5</v>
      </c>
      <c r="T1004">
        <v>60</v>
      </c>
      <c r="U1004">
        <v>60</v>
      </c>
      <c r="W1004">
        <v>29.39</v>
      </c>
      <c r="X1004">
        <v>1</v>
      </c>
      <c r="Y1004">
        <v>16.38</v>
      </c>
      <c r="Z1004">
        <v>36.25</v>
      </c>
      <c r="AA1004">
        <v>18.13</v>
      </c>
      <c r="AB1004">
        <v>6.23</v>
      </c>
      <c r="AC1004">
        <v>35.94</v>
      </c>
      <c r="AE1004">
        <v>1</v>
      </c>
      <c r="AF1004" t="s">
        <v>3284</v>
      </c>
      <c r="AG1004">
        <v>18</v>
      </c>
      <c r="AK1004" t="s">
        <v>291</v>
      </c>
      <c r="AM1004" t="s">
        <v>98</v>
      </c>
      <c r="AN1004" t="s">
        <v>98</v>
      </c>
      <c r="AO1004" t="s">
        <v>291</v>
      </c>
      <c r="AP1004" t="s">
        <v>99</v>
      </c>
      <c r="AQ1004" t="s">
        <v>102</v>
      </c>
      <c r="AV1004" t="s">
        <v>98</v>
      </c>
      <c r="AX1004" t="s">
        <v>302</v>
      </c>
      <c r="AZ1004" t="s">
        <v>535</v>
      </c>
      <c r="BC1004" t="s">
        <v>3285</v>
      </c>
      <c r="BF1004" t="s">
        <v>3291</v>
      </c>
      <c r="BG1004" t="s">
        <v>98</v>
      </c>
      <c r="BH1004" t="s">
        <v>98</v>
      </c>
      <c r="BI1004" t="s">
        <v>98</v>
      </c>
      <c r="BK1004" t="s">
        <v>138</v>
      </c>
      <c r="BU1004">
        <v>12</v>
      </c>
      <c r="BW1004">
        <v>0.75</v>
      </c>
      <c r="BX1004" t="s">
        <v>3212</v>
      </c>
      <c r="BY1004" t="s">
        <v>291</v>
      </c>
      <c r="BZ1004" t="s">
        <v>302</v>
      </c>
      <c r="CA1004" t="s">
        <v>3287</v>
      </c>
      <c r="CB1004" t="s">
        <v>302</v>
      </c>
      <c r="CC1004">
        <v>90</v>
      </c>
      <c r="CD1004">
        <v>0.44</v>
      </c>
      <c r="CE1004">
        <v>34.119999999999997</v>
      </c>
      <c r="CF1004">
        <v>5673.36</v>
      </c>
      <c r="CG1004">
        <v>3000</v>
      </c>
      <c r="CH1004">
        <v>93</v>
      </c>
      <c r="CI1004">
        <v>1627</v>
      </c>
      <c r="CJ1004">
        <v>683</v>
      </c>
      <c r="CK1004">
        <v>30000</v>
      </c>
      <c r="CL1004" t="s">
        <v>291</v>
      </c>
      <c r="CM1004" t="s">
        <v>291</v>
      </c>
      <c r="CN1004" t="s">
        <v>2156</v>
      </c>
      <c r="CO1004" s="1">
        <v>43060</v>
      </c>
      <c r="CP1004" s="1">
        <v>43595</v>
      </c>
    </row>
    <row r="1005" spans="1:94" x14ac:dyDescent="0.25">
      <c r="A1005" s="4" t="s">
        <v>3292</v>
      </c>
      <c r="B1005" t="str">
        <f xml:space="preserve"> "" &amp; 706411040191</f>
        <v>706411040191</v>
      </c>
      <c r="C1005" t="s">
        <v>3293</v>
      </c>
      <c r="D1005" t="s">
        <v>4508</v>
      </c>
      <c r="E1005" t="str">
        <f xml:space="preserve"> "VINTAGE GYRO" &amp;  CHAR(153) &amp; ""</f>
        <v>VINTAGE GYRO™</v>
      </c>
      <c r="F1005" t="s">
        <v>2113</v>
      </c>
      <c r="G1005">
        <v>1</v>
      </c>
      <c r="H1005">
        <v>1</v>
      </c>
      <c r="I1005" t="s">
        <v>97</v>
      </c>
      <c r="J1005" s="32">
        <v>359.95</v>
      </c>
      <c r="K1005" s="32">
        <v>1079.8499999999999</v>
      </c>
      <c r="L1005">
        <v>0</v>
      </c>
      <c r="N1005">
        <v>0</v>
      </c>
      <c r="Q1005" t="s">
        <v>291</v>
      </c>
      <c r="R1005" s="32">
        <v>679.95</v>
      </c>
      <c r="S1005">
        <v>16.75</v>
      </c>
      <c r="T1005">
        <v>42</v>
      </c>
      <c r="U1005">
        <v>42</v>
      </c>
      <c r="W1005">
        <v>34.08</v>
      </c>
      <c r="X1005">
        <v>1</v>
      </c>
      <c r="Y1005">
        <v>14</v>
      </c>
      <c r="Z1005">
        <v>44.375</v>
      </c>
      <c r="AA1005">
        <v>18</v>
      </c>
      <c r="AB1005">
        <v>6.4710000000000001</v>
      </c>
      <c r="AC1005">
        <v>42.33</v>
      </c>
      <c r="AE1005">
        <v>1</v>
      </c>
      <c r="AF1005" t="s">
        <v>3294</v>
      </c>
      <c r="AG1005">
        <v>100</v>
      </c>
      <c r="AK1005" t="s">
        <v>291</v>
      </c>
      <c r="AM1005" t="s">
        <v>98</v>
      </c>
      <c r="AN1005" t="s">
        <v>98</v>
      </c>
      <c r="AO1005" t="s">
        <v>291</v>
      </c>
      <c r="AP1005" t="s">
        <v>99</v>
      </c>
      <c r="AQ1005" t="s">
        <v>102</v>
      </c>
      <c r="AV1005" t="s">
        <v>98</v>
      </c>
      <c r="AX1005" t="s">
        <v>2773</v>
      </c>
      <c r="AZ1005" t="s">
        <v>2235</v>
      </c>
      <c r="BB1005" t="s">
        <v>54</v>
      </c>
      <c r="BC1005" t="s">
        <v>2181</v>
      </c>
      <c r="BF1005" t="s">
        <v>3295</v>
      </c>
      <c r="BG1005" t="s">
        <v>98</v>
      </c>
      <c r="BH1005" t="s">
        <v>98</v>
      </c>
      <c r="BI1005" t="s">
        <v>98</v>
      </c>
      <c r="BK1005" t="s">
        <v>138</v>
      </c>
      <c r="BU1005">
        <v>6</v>
      </c>
      <c r="BW1005">
        <v>0.75</v>
      </c>
      <c r="BX1005" t="s">
        <v>2195</v>
      </c>
      <c r="BY1005" t="s">
        <v>291</v>
      </c>
      <c r="BZ1005" t="s">
        <v>430</v>
      </c>
      <c r="CA1005" t="s">
        <v>3296</v>
      </c>
      <c r="CB1005" t="s">
        <v>2773</v>
      </c>
      <c r="CC1005">
        <v>1350</v>
      </c>
      <c r="CD1005">
        <v>0.84</v>
      </c>
      <c r="CE1005">
        <v>102</v>
      </c>
      <c r="CF1005">
        <v>5050</v>
      </c>
      <c r="CL1005" t="s">
        <v>291</v>
      </c>
      <c r="CM1005" t="s">
        <v>98</v>
      </c>
      <c r="CN1005" t="s">
        <v>2189</v>
      </c>
      <c r="CO1005" s="1">
        <v>40532</v>
      </c>
      <c r="CP1005" s="1">
        <v>43595</v>
      </c>
    </row>
    <row r="1006" spans="1:94" x14ac:dyDescent="0.25">
      <c r="A1006" s="4" t="s">
        <v>3297</v>
      </c>
      <c r="B1006" t="str">
        <f xml:space="preserve"> "" &amp; 706411044205</f>
        <v>706411044205</v>
      </c>
      <c r="C1006" t="s">
        <v>3293</v>
      </c>
      <c r="D1006" t="s">
        <v>4508</v>
      </c>
      <c r="E1006" t="str">
        <f xml:space="preserve"> "VINTAGE GYRO" &amp;  CHAR(153) &amp; ""</f>
        <v>VINTAGE GYRO™</v>
      </c>
      <c r="F1006" t="s">
        <v>2113</v>
      </c>
      <c r="G1006">
        <v>1</v>
      </c>
      <c r="H1006">
        <v>1</v>
      </c>
      <c r="I1006" t="s">
        <v>97</v>
      </c>
      <c r="J1006" s="32">
        <v>389.95</v>
      </c>
      <c r="K1006" s="32">
        <v>1169.8499999999999</v>
      </c>
      <c r="L1006">
        <v>0</v>
      </c>
      <c r="N1006">
        <v>0</v>
      </c>
      <c r="Q1006" t="s">
        <v>291</v>
      </c>
      <c r="R1006" s="32">
        <v>739.95</v>
      </c>
      <c r="S1006">
        <v>16.75</v>
      </c>
      <c r="T1006">
        <v>42</v>
      </c>
      <c r="U1006">
        <v>42</v>
      </c>
      <c r="W1006">
        <v>34.08</v>
      </c>
      <c r="X1006">
        <v>1</v>
      </c>
      <c r="Y1006">
        <v>14</v>
      </c>
      <c r="Z1006">
        <v>44.38</v>
      </c>
      <c r="AA1006">
        <v>18</v>
      </c>
      <c r="AB1006">
        <v>6.4720000000000004</v>
      </c>
      <c r="AC1006">
        <v>42.33</v>
      </c>
      <c r="AE1006">
        <v>1</v>
      </c>
      <c r="AF1006" t="s">
        <v>2186</v>
      </c>
      <c r="AG1006">
        <v>100</v>
      </c>
      <c r="AK1006" t="s">
        <v>291</v>
      </c>
      <c r="AM1006" t="s">
        <v>98</v>
      </c>
      <c r="AN1006" t="s">
        <v>98</v>
      </c>
      <c r="AO1006" t="s">
        <v>291</v>
      </c>
      <c r="AP1006" t="s">
        <v>99</v>
      </c>
      <c r="AQ1006" t="s">
        <v>102</v>
      </c>
      <c r="AV1006" t="s">
        <v>98</v>
      </c>
      <c r="AX1006" t="s">
        <v>219</v>
      </c>
      <c r="AZ1006" t="s">
        <v>2235</v>
      </c>
      <c r="BB1006" t="s">
        <v>106</v>
      </c>
      <c r="BC1006" t="s">
        <v>3150</v>
      </c>
      <c r="BF1006" t="s">
        <v>3298</v>
      </c>
      <c r="BG1006" t="s">
        <v>98</v>
      </c>
      <c r="BH1006" t="s">
        <v>98</v>
      </c>
      <c r="BI1006" t="s">
        <v>98</v>
      </c>
      <c r="BK1006" t="s">
        <v>138</v>
      </c>
      <c r="BU1006">
        <v>6</v>
      </c>
      <c r="BW1006">
        <v>0.75</v>
      </c>
      <c r="BX1006">
        <v>20</v>
      </c>
      <c r="BY1006" t="s">
        <v>291</v>
      </c>
      <c r="BZ1006" t="s">
        <v>219</v>
      </c>
      <c r="CA1006" t="s">
        <v>3296</v>
      </c>
      <c r="CB1006" t="s">
        <v>219</v>
      </c>
      <c r="CC1006">
        <v>1350</v>
      </c>
      <c r="CD1006">
        <v>0.84</v>
      </c>
      <c r="CE1006">
        <v>102</v>
      </c>
      <c r="CF1006">
        <v>5050</v>
      </c>
      <c r="CL1006" t="s">
        <v>291</v>
      </c>
      <c r="CM1006" t="s">
        <v>98</v>
      </c>
      <c r="CN1006" t="s">
        <v>2189</v>
      </c>
      <c r="CO1006" s="1">
        <v>41248</v>
      </c>
      <c r="CP1006" s="1">
        <v>43595</v>
      </c>
    </row>
    <row r="1007" spans="1:94" x14ac:dyDescent="0.25">
      <c r="A1007" s="4" t="s">
        <v>3299</v>
      </c>
      <c r="B1007" t="str">
        <f xml:space="preserve"> "" &amp; 706411040207</f>
        <v>706411040207</v>
      </c>
      <c r="C1007" t="s">
        <v>3293</v>
      </c>
      <c r="D1007" t="s">
        <v>4508</v>
      </c>
      <c r="E1007" t="str">
        <f xml:space="preserve"> "VINTAGE GYRO" &amp;  CHAR(153) &amp; ""</f>
        <v>VINTAGE GYRO™</v>
      </c>
      <c r="F1007" t="s">
        <v>2113</v>
      </c>
      <c r="G1007">
        <v>1</v>
      </c>
      <c r="H1007">
        <v>1</v>
      </c>
      <c r="I1007" t="s">
        <v>97</v>
      </c>
      <c r="J1007" s="32">
        <v>389.95</v>
      </c>
      <c r="K1007" s="32">
        <v>1169.8499999999999</v>
      </c>
      <c r="L1007">
        <v>0</v>
      </c>
      <c r="N1007">
        <v>0</v>
      </c>
      <c r="Q1007" t="s">
        <v>291</v>
      </c>
      <c r="R1007" s="32">
        <v>739.95</v>
      </c>
      <c r="S1007">
        <v>16.75</v>
      </c>
      <c r="T1007">
        <v>42</v>
      </c>
      <c r="U1007">
        <v>42</v>
      </c>
      <c r="W1007">
        <v>34.08</v>
      </c>
      <c r="X1007">
        <v>1</v>
      </c>
      <c r="Y1007">
        <v>14</v>
      </c>
      <c r="Z1007">
        <v>44.38</v>
      </c>
      <c r="AA1007">
        <v>18</v>
      </c>
      <c r="AB1007">
        <v>6.4720000000000004</v>
      </c>
      <c r="AC1007">
        <v>42.33</v>
      </c>
      <c r="AE1007">
        <v>1</v>
      </c>
      <c r="AF1007" t="s">
        <v>2186</v>
      </c>
      <c r="AG1007">
        <v>100</v>
      </c>
      <c r="AK1007" t="s">
        <v>291</v>
      </c>
      <c r="AM1007" t="s">
        <v>98</v>
      </c>
      <c r="AN1007" t="s">
        <v>98</v>
      </c>
      <c r="AO1007" t="s">
        <v>291</v>
      </c>
      <c r="AP1007" t="s">
        <v>99</v>
      </c>
      <c r="AQ1007" t="s">
        <v>102</v>
      </c>
      <c r="AV1007" t="s">
        <v>98</v>
      </c>
      <c r="AX1007" t="s">
        <v>245</v>
      </c>
      <c r="AZ1007" t="s">
        <v>2235</v>
      </c>
      <c r="BB1007" t="s">
        <v>54</v>
      </c>
      <c r="BC1007" t="s">
        <v>2275</v>
      </c>
      <c r="BF1007" t="s">
        <v>3300</v>
      </c>
      <c r="BG1007" t="s">
        <v>98</v>
      </c>
      <c r="BH1007" t="s">
        <v>98</v>
      </c>
      <c r="BI1007" t="s">
        <v>98</v>
      </c>
      <c r="BK1007" t="s">
        <v>138</v>
      </c>
      <c r="BU1007">
        <v>6</v>
      </c>
      <c r="BW1007">
        <v>0.75</v>
      </c>
      <c r="BX1007" t="s">
        <v>2188</v>
      </c>
      <c r="BY1007" t="s">
        <v>291</v>
      </c>
      <c r="BZ1007" t="s">
        <v>245</v>
      </c>
      <c r="CA1007" t="s">
        <v>3296</v>
      </c>
      <c r="CB1007" t="s">
        <v>245</v>
      </c>
      <c r="CC1007">
        <v>1350</v>
      </c>
      <c r="CD1007">
        <v>0.84</v>
      </c>
      <c r="CE1007">
        <v>102</v>
      </c>
      <c r="CF1007">
        <v>5050</v>
      </c>
      <c r="CL1007" t="s">
        <v>291</v>
      </c>
      <c r="CM1007" t="s">
        <v>291</v>
      </c>
      <c r="CN1007" t="s">
        <v>2189</v>
      </c>
      <c r="CO1007" s="1">
        <v>40532</v>
      </c>
      <c r="CP1007" s="1">
        <v>43595</v>
      </c>
    </row>
    <row r="1008" spans="1:94" x14ac:dyDescent="0.25">
      <c r="A1008" s="4" t="s">
        <v>3301</v>
      </c>
      <c r="B1008" t="str">
        <f xml:space="preserve"> "" &amp; 706411054921</f>
        <v>706411054921</v>
      </c>
      <c r="C1008" t="s">
        <v>3302</v>
      </c>
      <c r="D1008" t="s">
        <v>4508</v>
      </c>
      <c r="E1008" t="str">
        <f xml:space="preserve"> "VINTAGE GYRO" &amp;  CHAR(153) &amp; ""</f>
        <v>VINTAGE GYRO™</v>
      </c>
      <c r="F1008" t="s">
        <v>2113</v>
      </c>
      <c r="G1008">
        <v>1</v>
      </c>
      <c r="H1008">
        <v>1</v>
      </c>
      <c r="I1008" t="s">
        <v>97</v>
      </c>
      <c r="J1008" s="32">
        <v>359.95</v>
      </c>
      <c r="K1008" s="32">
        <v>1079.8499999999999</v>
      </c>
      <c r="L1008">
        <v>0</v>
      </c>
      <c r="N1008">
        <v>0</v>
      </c>
      <c r="Q1008" t="s">
        <v>291</v>
      </c>
      <c r="R1008" s="32">
        <v>679.95</v>
      </c>
      <c r="S1008">
        <v>16.75</v>
      </c>
      <c r="T1008">
        <v>42</v>
      </c>
      <c r="U1008">
        <v>42</v>
      </c>
      <c r="W1008">
        <v>34.08</v>
      </c>
      <c r="X1008">
        <v>1</v>
      </c>
      <c r="Y1008">
        <v>14</v>
      </c>
      <c r="Z1008">
        <v>44.38</v>
      </c>
      <c r="AA1008">
        <v>18</v>
      </c>
      <c r="AB1008">
        <v>6.4720000000000004</v>
      </c>
      <c r="AC1008">
        <v>42.33</v>
      </c>
      <c r="AE1008">
        <v>1</v>
      </c>
      <c r="AF1008" t="s">
        <v>3303</v>
      </c>
      <c r="AG1008">
        <v>100</v>
      </c>
      <c r="AK1008" t="s">
        <v>291</v>
      </c>
      <c r="AM1008" t="s">
        <v>98</v>
      </c>
      <c r="AN1008" t="s">
        <v>98</v>
      </c>
      <c r="AO1008" t="s">
        <v>291</v>
      </c>
      <c r="AP1008" t="s">
        <v>99</v>
      </c>
      <c r="AQ1008" t="s">
        <v>102</v>
      </c>
      <c r="AV1008" t="s">
        <v>98</v>
      </c>
      <c r="AX1008" t="s">
        <v>257</v>
      </c>
      <c r="AZ1008" t="s">
        <v>109</v>
      </c>
      <c r="BB1008" t="s">
        <v>106</v>
      </c>
      <c r="BC1008" t="s">
        <v>2152</v>
      </c>
      <c r="BF1008" t="s">
        <v>3304</v>
      </c>
      <c r="BG1008" t="s">
        <v>98</v>
      </c>
      <c r="BH1008" t="s">
        <v>98</v>
      </c>
      <c r="BI1008" t="s">
        <v>98</v>
      </c>
      <c r="BK1008" t="s">
        <v>138</v>
      </c>
      <c r="BU1008">
        <v>3.5</v>
      </c>
      <c r="BV1008">
        <v>6</v>
      </c>
      <c r="BX1008">
        <v>20</v>
      </c>
      <c r="BY1008" t="s">
        <v>291</v>
      </c>
      <c r="BZ1008" t="s">
        <v>257</v>
      </c>
      <c r="CA1008" t="s">
        <v>3296</v>
      </c>
      <c r="CB1008" t="s">
        <v>257</v>
      </c>
      <c r="CC1008">
        <v>1350</v>
      </c>
      <c r="CD1008">
        <v>0.84</v>
      </c>
      <c r="CE1008">
        <v>102</v>
      </c>
      <c r="CF1008">
        <v>5050</v>
      </c>
      <c r="CL1008" t="s">
        <v>291</v>
      </c>
      <c r="CM1008" t="s">
        <v>98</v>
      </c>
      <c r="CN1008" t="s">
        <v>3305</v>
      </c>
      <c r="CO1008" s="1">
        <v>42516</v>
      </c>
      <c r="CP1008" s="1">
        <v>43595</v>
      </c>
    </row>
    <row r="1009" spans="1:94" x14ac:dyDescent="0.25">
      <c r="A1009" s="4" t="s">
        <v>3306</v>
      </c>
      <c r="B1009" t="str">
        <f xml:space="preserve"> "" &amp; 706411055270</f>
        <v>706411055270</v>
      </c>
      <c r="C1009" t="s">
        <v>2225</v>
      </c>
      <c r="D1009" t="s">
        <v>4448</v>
      </c>
      <c r="E1009" t="str">
        <f t="shared" ref="E1009:E1016" si="0" xml:space="preserve"> "ARTEMIS" &amp;  CHAR(153) &amp; " LED"</f>
        <v>ARTEMIS™ LED</v>
      </c>
      <c r="F1009" t="s">
        <v>2113</v>
      </c>
      <c r="G1009">
        <v>1</v>
      </c>
      <c r="H1009">
        <v>1</v>
      </c>
      <c r="I1009" t="s">
        <v>97</v>
      </c>
      <c r="J1009" s="32">
        <v>289.95</v>
      </c>
      <c r="K1009" s="32">
        <v>869.85</v>
      </c>
      <c r="L1009">
        <v>0</v>
      </c>
      <c r="N1009">
        <v>0</v>
      </c>
      <c r="Q1009" t="s">
        <v>291</v>
      </c>
      <c r="R1009" s="32">
        <v>549.95000000000005</v>
      </c>
      <c r="S1009">
        <v>13</v>
      </c>
      <c r="U1009">
        <v>58</v>
      </c>
      <c r="W1009">
        <v>25.51</v>
      </c>
      <c r="X1009">
        <v>1</v>
      </c>
      <c r="Y1009">
        <v>8.8800000000000008</v>
      </c>
      <c r="Z1009">
        <v>35</v>
      </c>
      <c r="AA1009">
        <v>22</v>
      </c>
      <c r="AB1009">
        <v>3.9569999999999999</v>
      </c>
      <c r="AC1009">
        <v>30.51</v>
      </c>
      <c r="AE1009">
        <v>1</v>
      </c>
      <c r="AF1009" t="s">
        <v>2141</v>
      </c>
      <c r="AG1009">
        <v>17</v>
      </c>
      <c r="AK1009" t="s">
        <v>291</v>
      </c>
      <c r="AM1009" t="s">
        <v>98</v>
      </c>
      <c r="AN1009" t="s">
        <v>98</v>
      </c>
      <c r="AO1009" t="s">
        <v>291</v>
      </c>
      <c r="AP1009" t="s">
        <v>99</v>
      </c>
      <c r="AQ1009" t="s">
        <v>102</v>
      </c>
      <c r="AV1009" t="s">
        <v>98</v>
      </c>
      <c r="AX1009" t="s">
        <v>146</v>
      </c>
      <c r="AZ1009" t="s">
        <v>535</v>
      </c>
      <c r="BB1009" t="s">
        <v>106</v>
      </c>
      <c r="BC1009" t="s">
        <v>2152</v>
      </c>
      <c r="BF1009" t="s">
        <v>3307</v>
      </c>
      <c r="BG1009" t="s">
        <v>98</v>
      </c>
      <c r="BH1009" t="s">
        <v>98</v>
      </c>
      <c r="BI1009" t="s">
        <v>98</v>
      </c>
      <c r="BK1009" t="s">
        <v>138</v>
      </c>
      <c r="BU1009">
        <v>6</v>
      </c>
      <c r="BW1009">
        <v>0.75</v>
      </c>
      <c r="BX1009" t="s">
        <v>3212</v>
      </c>
      <c r="BY1009" t="s">
        <v>291</v>
      </c>
      <c r="BZ1009" t="s">
        <v>3308</v>
      </c>
      <c r="CA1009" t="s">
        <v>3309</v>
      </c>
      <c r="CB1009" t="s">
        <v>146</v>
      </c>
      <c r="CC1009">
        <v>133</v>
      </c>
      <c r="CD1009">
        <v>0.78</v>
      </c>
      <c r="CE1009">
        <v>95</v>
      </c>
      <c r="CF1009">
        <v>6452</v>
      </c>
      <c r="CG1009">
        <v>3000</v>
      </c>
      <c r="CH1009">
        <v>83</v>
      </c>
      <c r="CI1009">
        <v>1566</v>
      </c>
      <c r="CJ1009">
        <v>814</v>
      </c>
      <c r="CK1009">
        <v>30000</v>
      </c>
      <c r="CL1009" t="s">
        <v>291</v>
      </c>
      <c r="CM1009" t="s">
        <v>291</v>
      </c>
      <c r="CN1009" t="s">
        <v>3310</v>
      </c>
      <c r="CO1009" s="1">
        <v>42788</v>
      </c>
      <c r="CP1009" s="1">
        <v>43595</v>
      </c>
    </row>
    <row r="1010" spans="1:94" x14ac:dyDescent="0.25">
      <c r="A1010" s="4" t="s">
        <v>3311</v>
      </c>
      <c r="B1010" t="str">
        <f xml:space="preserve"> "" &amp; 706411055539</f>
        <v>706411055539</v>
      </c>
      <c r="C1010" t="s">
        <v>2225</v>
      </c>
      <c r="D1010" t="s">
        <v>4448</v>
      </c>
      <c r="E1010" t="str">
        <f t="shared" si="0"/>
        <v>ARTEMIS™ LED</v>
      </c>
      <c r="F1010" t="s">
        <v>2113</v>
      </c>
      <c r="G1010">
        <v>1</v>
      </c>
      <c r="H1010">
        <v>1</v>
      </c>
      <c r="I1010" t="s">
        <v>97</v>
      </c>
      <c r="J1010" s="32">
        <v>289.95</v>
      </c>
      <c r="K1010" s="32">
        <v>869.85</v>
      </c>
      <c r="L1010">
        <v>0</v>
      </c>
      <c r="N1010">
        <v>0</v>
      </c>
      <c r="Q1010" t="s">
        <v>291</v>
      </c>
      <c r="R1010" s="32">
        <v>549.95000000000005</v>
      </c>
      <c r="S1010">
        <v>13</v>
      </c>
      <c r="U1010">
        <v>58</v>
      </c>
      <c r="W1010">
        <v>25.51</v>
      </c>
      <c r="X1010">
        <v>1</v>
      </c>
      <c r="Y1010">
        <v>8.8800000000000008</v>
      </c>
      <c r="Z1010">
        <v>35</v>
      </c>
      <c r="AA1010">
        <v>22</v>
      </c>
      <c r="AB1010">
        <v>3.9569999999999999</v>
      </c>
      <c r="AC1010">
        <v>13.85</v>
      </c>
      <c r="AE1010">
        <v>1</v>
      </c>
      <c r="AF1010" t="s">
        <v>2141</v>
      </c>
      <c r="AG1010">
        <v>17</v>
      </c>
      <c r="AK1010" t="s">
        <v>291</v>
      </c>
      <c r="AM1010" t="s">
        <v>98</v>
      </c>
      <c r="AN1010" t="s">
        <v>98</v>
      </c>
      <c r="AO1010" t="s">
        <v>291</v>
      </c>
      <c r="AP1010" t="s">
        <v>99</v>
      </c>
      <c r="AQ1010" t="s">
        <v>102</v>
      </c>
      <c r="AV1010" t="s">
        <v>98</v>
      </c>
      <c r="AX1010" t="s">
        <v>183</v>
      </c>
      <c r="AZ1010" t="s">
        <v>535</v>
      </c>
      <c r="BB1010" t="s">
        <v>106</v>
      </c>
      <c r="BC1010" t="s">
        <v>3150</v>
      </c>
      <c r="BF1010" t="s">
        <v>3312</v>
      </c>
      <c r="BG1010" t="s">
        <v>98</v>
      </c>
      <c r="BH1010" t="s">
        <v>98</v>
      </c>
      <c r="BI1010" t="s">
        <v>98</v>
      </c>
      <c r="BK1010" t="s">
        <v>138</v>
      </c>
      <c r="BU1010">
        <v>6</v>
      </c>
      <c r="BW1010">
        <v>0.75</v>
      </c>
      <c r="BX1010" t="s">
        <v>3212</v>
      </c>
      <c r="BY1010" t="s">
        <v>291</v>
      </c>
      <c r="BZ1010" t="s">
        <v>183</v>
      </c>
      <c r="CA1010" t="s">
        <v>3309</v>
      </c>
      <c r="CB1010" t="s">
        <v>183</v>
      </c>
      <c r="CC1010">
        <v>133</v>
      </c>
      <c r="CD1010">
        <v>0.78</v>
      </c>
      <c r="CE1010">
        <v>95</v>
      </c>
      <c r="CF1010">
        <v>6452</v>
      </c>
      <c r="CG1010">
        <v>3000</v>
      </c>
      <c r="CH1010">
        <v>83</v>
      </c>
      <c r="CI1010">
        <v>1566</v>
      </c>
      <c r="CJ1010">
        <v>533</v>
      </c>
      <c r="CK1010">
        <v>30000</v>
      </c>
      <c r="CL1010" t="s">
        <v>291</v>
      </c>
      <c r="CM1010" t="s">
        <v>291</v>
      </c>
      <c r="CN1010" t="s">
        <v>3313</v>
      </c>
      <c r="CO1010" s="1">
        <v>42788</v>
      </c>
      <c r="CP1010" s="1">
        <v>43595</v>
      </c>
    </row>
    <row r="1011" spans="1:94" x14ac:dyDescent="0.25">
      <c r="A1011" s="4" t="s">
        <v>3314</v>
      </c>
      <c r="B1011" t="str">
        <f xml:space="preserve"> "" &amp; 706411055447</f>
        <v>706411055447</v>
      </c>
      <c r="C1011" t="s">
        <v>2225</v>
      </c>
      <c r="D1011" t="s">
        <v>4448</v>
      </c>
      <c r="E1011" t="str">
        <f t="shared" si="0"/>
        <v>ARTEMIS™ LED</v>
      </c>
      <c r="F1011" t="s">
        <v>2113</v>
      </c>
      <c r="G1011">
        <v>1</v>
      </c>
      <c r="H1011">
        <v>1</v>
      </c>
      <c r="I1011" t="s">
        <v>97</v>
      </c>
      <c r="J1011" s="32">
        <v>289.95</v>
      </c>
      <c r="K1011" s="32">
        <v>869.85</v>
      </c>
      <c r="L1011">
        <v>0</v>
      </c>
      <c r="N1011">
        <v>0</v>
      </c>
      <c r="Q1011" t="s">
        <v>291</v>
      </c>
      <c r="R1011" s="32">
        <v>549.95000000000005</v>
      </c>
      <c r="S1011">
        <v>13</v>
      </c>
      <c r="U1011">
        <v>58</v>
      </c>
      <c r="W1011">
        <v>25.51</v>
      </c>
      <c r="X1011">
        <v>1</v>
      </c>
      <c r="Y1011">
        <v>8.8800000000000008</v>
      </c>
      <c r="Z1011">
        <v>35</v>
      </c>
      <c r="AA1011">
        <v>22</v>
      </c>
      <c r="AB1011">
        <v>3.9569999999999999</v>
      </c>
      <c r="AC1011">
        <v>30.51</v>
      </c>
      <c r="AE1011">
        <v>1</v>
      </c>
      <c r="AF1011" t="s">
        <v>2141</v>
      </c>
      <c r="AG1011">
        <v>17</v>
      </c>
      <c r="AK1011" t="s">
        <v>291</v>
      </c>
      <c r="AM1011" t="s">
        <v>98</v>
      </c>
      <c r="AN1011" t="s">
        <v>98</v>
      </c>
      <c r="AO1011" t="s">
        <v>291</v>
      </c>
      <c r="AP1011" t="s">
        <v>99</v>
      </c>
      <c r="AQ1011" t="s">
        <v>102</v>
      </c>
      <c r="AV1011" t="s">
        <v>98</v>
      </c>
      <c r="AX1011" t="s">
        <v>703</v>
      </c>
      <c r="AZ1011" t="s">
        <v>535</v>
      </c>
      <c r="BB1011" t="s">
        <v>106</v>
      </c>
      <c r="BC1011" t="s">
        <v>3150</v>
      </c>
      <c r="BF1011" t="s">
        <v>3315</v>
      </c>
      <c r="BG1011" t="s">
        <v>98</v>
      </c>
      <c r="BH1011" t="s">
        <v>98</v>
      </c>
      <c r="BI1011" t="s">
        <v>98</v>
      </c>
      <c r="BK1011" t="s">
        <v>138</v>
      </c>
      <c r="BU1011">
        <v>6</v>
      </c>
      <c r="BW1011">
        <v>0.75</v>
      </c>
      <c r="BX1011" t="s">
        <v>3212</v>
      </c>
      <c r="BY1011" t="s">
        <v>291</v>
      </c>
      <c r="BZ1011" t="s">
        <v>703</v>
      </c>
      <c r="CA1011" t="s">
        <v>3309</v>
      </c>
      <c r="CB1011" t="s">
        <v>703</v>
      </c>
      <c r="CC1011">
        <v>133</v>
      </c>
      <c r="CD1011">
        <v>0.78</v>
      </c>
      <c r="CE1011">
        <v>95</v>
      </c>
      <c r="CF1011">
        <v>6452</v>
      </c>
      <c r="CG1011">
        <v>3000</v>
      </c>
      <c r="CH1011">
        <v>83</v>
      </c>
      <c r="CI1011">
        <v>1566</v>
      </c>
      <c r="CJ1011">
        <v>814</v>
      </c>
      <c r="CK1011">
        <v>30000</v>
      </c>
      <c r="CL1011" t="s">
        <v>291</v>
      </c>
      <c r="CM1011" t="s">
        <v>291</v>
      </c>
      <c r="CN1011" t="s">
        <v>3316</v>
      </c>
      <c r="CO1011" s="1">
        <v>42598</v>
      </c>
      <c r="CP1011" s="1">
        <v>43595</v>
      </c>
    </row>
    <row r="1012" spans="1:94" x14ac:dyDescent="0.25">
      <c r="A1012" s="4" t="s">
        <v>3317</v>
      </c>
      <c r="B1012" t="str">
        <f xml:space="preserve"> "" &amp; 706411055508</f>
        <v>706411055508</v>
      </c>
      <c r="C1012" t="s">
        <v>2225</v>
      </c>
      <c r="D1012" t="s">
        <v>4448</v>
      </c>
      <c r="E1012" t="str">
        <f t="shared" si="0"/>
        <v>ARTEMIS™ LED</v>
      </c>
      <c r="F1012" t="s">
        <v>2113</v>
      </c>
      <c r="G1012">
        <v>1</v>
      </c>
      <c r="H1012">
        <v>1</v>
      </c>
      <c r="I1012" t="s">
        <v>97</v>
      </c>
      <c r="J1012" s="32">
        <v>689.95</v>
      </c>
      <c r="K1012" s="32">
        <v>2069.85</v>
      </c>
      <c r="L1012">
        <v>0</v>
      </c>
      <c r="N1012">
        <v>0</v>
      </c>
      <c r="Q1012" t="s">
        <v>291</v>
      </c>
      <c r="R1012" s="32">
        <v>1249.95</v>
      </c>
      <c r="S1012">
        <v>13</v>
      </c>
      <c r="U1012">
        <v>58</v>
      </c>
      <c r="W1012">
        <v>25.51</v>
      </c>
      <c r="X1012">
        <v>1</v>
      </c>
      <c r="Y1012">
        <v>8.8800000000000008</v>
      </c>
      <c r="Z1012">
        <v>35</v>
      </c>
      <c r="AA1012">
        <v>22</v>
      </c>
      <c r="AB1012">
        <v>3.9569999999999999</v>
      </c>
      <c r="AC1012">
        <v>30.51</v>
      </c>
      <c r="AE1012">
        <v>1</v>
      </c>
      <c r="AF1012" t="s">
        <v>2141</v>
      </c>
      <c r="AG1012">
        <v>17</v>
      </c>
      <c r="AK1012" t="s">
        <v>291</v>
      </c>
      <c r="AM1012" t="s">
        <v>98</v>
      </c>
      <c r="AN1012" t="s">
        <v>98</v>
      </c>
      <c r="AO1012" t="s">
        <v>291</v>
      </c>
      <c r="AP1012" t="s">
        <v>99</v>
      </c>
      <c r="AQ1012" t="s">
        <v>102</v>
      </c>
      <c r="AV1012" t="s">
        <v>98</v>
      </c>
      <c r="AX1012" t="s">
        <v>223</v>
      </c>
      <c r="AZ1012" t="s">
        <v>535</v>
      </c>
      <c r="BB1012" t="s">
        <v>106</v>
      </c>
      <c r="BC1012" t="s">
        <v>2152</v>
      </c>
      <c r="BF1012" t="s">
        <v>3318</v>
      </c>
      <c r="BG1012" t="s">
        <v>98</v>
      </c>
      <c r="BH1012" t="s">
        <v>98</v>
      </c>
      <c r="BI1012" t="s">
        <v>98</v>
      </c>
      <c r="BK1012" t="s">
        <v>138</v>
      </c>
      <c r="BU1012">
        <v>6</v>
      </c>
      <c r="BW1012">
        <v>0.75</v>
      </c>
      <c r="BX1012" t="s">
        <v>3212</v>
      </c>
      <c r="BY1012" t="s">
        <v>291</v>
      </c>
      <c r="BZ1012" t="s">
        <v>223</v>
      </c>
      <c r="CA1012" t="s">
        <v>3309</v>
      </c>
      <c r="CB1012" t="s">
        <v>223</v>
      </c>
      <c r="CC1012">
        <v>133</v>
      </c>
      <c r="CD1012">
        <v>0.78</v>
      </c>
      <c r="CE1012">
        <v>95</v>
      </c>
      <c r="CF1012">
        <v>6452</v>
      </c>
      <c r="CG1012">
        <v>3000</v>
      </c>
      <c r="CH1012">
        <v>83</v>
      </c>
      <c r="CI1012">
        <v>1566</v>
      </c>
      <c r="CJ1012">
        <v>814</v>
      </c>
      <c r="CK1012">
        <v>30000</v>
      </c>
      <c r="CL1012" t="s">
        <v>291</v>
      </c>
      <c r="CM1012" t="s">
        <v>291</v>
      </c>
      <c r="CN1012" t="s">
        <v>3316</v>
      </c>
      <c r="CO1012" s="1">
        <v>42598</v>
      </c>
      <c r="CP1012" s="1">
        <v>43595</v>
      </c>
    </row>
    <row r="1013" spans="1:94" x14ac:dyDescent="0.25">
      <c r="A1013" s="4" t="s">
        <v>3319</v>
      </c>
      <c r="B1013" t="str">
        <f xml:space="preserve"> "" &amp; 706411055546</f>
        <v>706411055546</v>
      </c>
      <c r="C1013" t="s">
        <v>2225</v>
      </c>
      <c r="D1013" t="s">
        <v>4448</v>
      </c>
      <c r="E1013" t="str">
        <f t="shared" si="0"/>
        <v>ARTEMIS™ LED</v>
      </c>
      <c r="F1013" t="s">
        <v>2113</v>
      </c>
      <c r="G1013">
        <v>1</v>
      </c>
      <c r="H1013">
        <v>1</v>
      </c>
      <c r="I1013" t="s">
        <v>97</v>
      </c>
      <c r="J1013" s="32">
        <v>289.95</v>
      </c>
      <c r="K1013" s="32">
        <v>869.85</v>
      </c>
      <c r="L1013">
        <v>0</v>
      </c>
      <c r="N1013">
        <v>0</v>
      </c>
      <c r="Q1013" t="s">
        <v>291</v>
      </c>
      <c r="R1013" s="32">
        <v>549.95000000000005</v>
      </c>
      <c r="S1013">
        <v>13</v>
      </c>
      <c r="U1013">
        <v>58</v>
      </c>
      <c r="W1013">
        <v>25.51</v>
      </c>
      <c r="X1013">
        <v>1</v>
      </c>
      <c r="Y1013">
        <v>8.8800000000000008</v>
      </c>
      <c r="Z1013">
        <v>35</v>
      </c>
      <c r="AA1013">
        <v>22</v>
      </c>
      <c r="AB1013">
        <v>3.9569999999999999</v>
      </c>
      <c r="AC1013">
        <v>30.51</v>
      </c>
      <c r="AE1013">
        <v>1</v>
      </c>
      <c r="AF1013" t="s">
        <v>2141</v>
      </c>
      <c r="AG1013">
        <v>17</v>
      </c>
      <c r="AK1013" t="s">
        <v>291</v>
      </c>
      <c r="AM1013" t="s">
        <v>98</v>
      </c>
      <c r="AN1013" t="s">
        <v>98</v>
      </c>
      <c r="AO1013" t="s">
        <v>291</v>
      </c>
      <c r="AP1013" t="s">
        <v>99</v>
      </c>
      <c r="AQ1013" t="s">
        <v>102</v>
      </c>
      <c r="AV1013" t="s">
        <v>98</v>
      </c>
      <c r="AX1013" t="s">
        <v>235</v>
      </c>
      <c r="AZ1013" t="s">
        <v>535</v>
      </c>
      <c r="BB1013" t="s">
        <v>106</v>
      </c>
      <c r="BC1013" t="s">
        <v>2152</v>
      </c>
      <c r="BF1013" t="s">
        <v>3320</v>
      </c>
      <c r="BG1013" t="s">
        <v>98</v>
      </c>
      <c r="BH1013" t="s">
        <v>98</v>
      </c>
      <c r="BI1013" t="s">
        <v>98</v>
      </c>
      <c r="BK1013" t="s">
        <v>138</v>
      </c>
      <c r="BU1013">
        <v>6</v>
      </c>
      <c r="BW1013">
        <v>0.75</v>
      </c>
      <c r="BX1013" t="s">
        <v>3212</v>
      </c>
      <c r="BY1013" t="s">
        <v>291</v>
      </c>
      <c r="BZ1013" t="s">
        <v>235</v>
      </c>
      <c r="CA1013" t="s">
        <v>3309</v>
      </c>
      <c r="CB1013" t="s">
        <v>235</v>
      </c>
      <c r="CC1013">
        <v>133</v>
      </c>
      <c r="CD1013">
        <v>0.78</v>
      </c>
      <c r="CE1013">
        <v>95</v>
      </c>
      <c r="CF1013">
        <v>6452</v>
      </c>
      <c r="CG1013">
        <v>3000</v>
      </c>
      <c r="CH1013">
        <v>83</v>
      </c>
      <c r="CI1013">
        <v>1566</v>
      </c>
      <c r="CJ1013">
        <v>814</v>
      </c>
      <c r="CK1013">
        <v>30000</v>
      </c>
      <c r="CL1013" t="s">
        <v>291</v>
      </c>
      <c r="CM1013" t="s">
        <v>291</v>
      </c>
      <c r="CN1013" t="s">
        <v>3310</v>
      </c>
      <c r="CO1013" s="1">
        <v>42598</v>
      </c>
      <c r="CP1013" s="1">
        <v>43595</v>
      </c>
    </row>
    <row r="1014" spans="1:94" x14ac:dyDescent="0.25">
      <c r="A1014" s="4" t="s">
        <v>3321</v>
      </c>
      <c r="B1014" t="str">
        <f xml:space="preserve"> "" &amp; 706411055287</f>
        <v>706411055287</v>
      </c>
      <c r="C1014" t="s">
        <v>2225</v>
      </c>
      <c r="D1014" t="s">
        <v>4448</v>
      </c>
      <c r="E1014" t="str">
        <f t="shared" si="0"/>
        <v>ARTEMIS™ LED</v>
      </c>
      <c r="F1014" t="s">
        <v>2113</v>
      </c>
      <c r="G1014">
        <v>1</v>
      </c>
      <c r="H1014">
        <v>1</v>
      </c>
      <c r="I1014" t="s">
        <v>97</v>
      </c>
      <c r="J1014" s="32">
        <v>289.95</v>
      </c>
      <c r="K1014" s="32">
        <v>869.85</v>
      </c>
      <c r="L1014">
        <v>0</v>
      </c>
      <c r="N1014">
        <v>0</v>
      </c>
      <c r="Q1014" t="s">
        <v>291</v>
      </c>
      <c r="R1014" s="32">
        <v>549.95000000000005</v>
      </c>
      <c r="S1014">
        <v>13</v>
      </c>
      <c r="U1014">
        <v>58</v>
      </c>
      <c r="W1014">
        <v>25.51</v>
      </c>
      <c r="X1014">
        <v>1</v>
      </c>
      <c r="Y1014">
        <v>8.8800000000000008</v>
      </c>
      <c r="Z1014">
        <v>35</v>
      </c>
      <c r="AA1014">
        <v>22</v>
      </c>
      <c r="AB1014">
        <v>3.9569999999999999</v>
      </c>
      <c r="AC1014">
        <v>30.51</v>
      </c>
      <c r="AE1014">
        <v>1</v>
      </c>
      <c r="AF1014" t="s">
        <v>2141</v>
      </c>
      <c r="AG1014">
        <v>17</v>
      </c>
      <c r="AK1014" t="s">
        <v>291</v>
      </c>
      <c r="AM1014" t="s">
        <v>98</v>
      </c>
      <c r="AN1014" t="s">
        <v>98</v>
      </c>
      <c r="AO1014" t="s">
        <v>291</v>
      </c>
      <c r="AP1014" t="s">
        <v>99</v>
      </c>
      <c r="AQ1014" t="s">
        <v>102</v>
      </c>
      <c r="AV1014" t="s">
        <v>98</v>
      </c>
      <c r="AX1014" t="s">
        <v>441</v>
      </c>
      <c r="AZ1014" t="s">
        <v>535</v>
      </c>
      <c r="BB1014" t="s">
        <v>106</v>
      </c>
      <c r="BC1014" t="s">
        <v>2152</v>
      </c>
      <c r="BF1014" t="s">
        <v>3322</v>
      </c>
      <c r="BG1014" t="s">
        <v>98</v>
      </c>
      <c r="BH1014" t="s">
        <v>98</v>
      </c>
      <c r="BI1014" t="s">
        <v>98</v>
      </c>
      <c r="BK1014" t="s">
        <v>138</v>
      </c>
      <c r="BU1014">
        <v>6</v>
      </c>
      <c r="BW1014">
        <v>0.75</v>
      </c>
      <c r="BX1014" t="s">
        <v>3212</v>
      </c>
      <c r="BY1014" t="s">
        <v>291</v>
      </c>
      <c r="BZ1014" t="s">
        <v>441</v>
      </c>
      <c r="CA1014" t="s">
        <v>3309</v>
      </c>
      <c r="CB1014" t="s">
        <v>441</v>
      </c>
      <c r="CC1014">
        <v>133</v>
      </c>
      <c r="CD1014">
        <v>0.78</v>
      </c>
      <c r="CE1014">
        <v>95</v>
      </c>
      <c r="CF1014">
        <v>6452</v>
      </c>
      <c r="CG1014">
        <v>3000</v>
      </c>
      <c r="CH1014">
        <v>83</v>
      </c>
      <c r="CI1014">
        <v>1566</v>
      </c>
      <c r="CJ1014">
        <v>814</v>
      </c>
      <c r="CK1014">
        <v>30000</v>
      </c>
      <c r="CL1014" t="s">
        <v>291</v>
      </c>
      <c r="CM1014" t="s">
        <v>291</v>
      </c>
      <c r="CN1014" t="s">
        <v>3316</v>
      </c>
      <c r="CO1014" s="1">
        <v>42598</v>
      </c>
      <c r="CP1014" s="1">
        <v>43595</v>
      </c>
    </row>
    <row r="1015" spans="1:94" x14ac:dyDescent="0.25">
      <c r="A1015" s="4" t="s">
        <v>3323</v>
      </c>
      <c r="B1015" t="str">
        <f xml:space="preserve"> "" &amp; 706411055294</f>
        <v>706411055294</v>
      </c>
      <c r="C1015" t="s">
        <v>3324</v>
      </c>
      <c r="D1015" t="s">
        <v>4448</v>
      </c>
      <c r="E1015" t="str">
        <f t="shared" si="0"/>
        <v>ARTEMIS™ LED</v>
      </c>
      <c r="F1015" t="s">
        <v>2113</v>
      </c>
      <c r="G1015">
        <v>1</v>
      </c>
      <c r="H1015">
        <v>1</v>
      </c>
      <c r="I1015" t="s">
        <v>97</v>
      </c>
      <c r="J1015" s="32">
        <v>289.95</v>
      </c>
      <c r="K1015" s="32">
        <v>869.85</v>
      </c>
      <c r="L1015">
        <v>0</v>
      </c>
      <c r="N1015">
        <v>0</v>
      </c>
      <c r="Q1015" t="s">
        <v>291</v>
      </c>
      <c r="R1015" s="32">
        <v>549.95000000000005</v>
      </c>
      <c r="S1015">
        <v>13</v>
      </c>
      <c r="U1015">
        <v>58</v>
      </c>
      <c r="W1015">
        <v>25.51</v>
      </c>
      <c r="X1015">
        <v>1</v>
      </c>
      <c r="Y1015">
        <v>8.8800000000000008</v>
      </c>
      <c r="Z1015">
        <v>35</v>
      </c>
      <c r="AA1015">
        <v>22</v>
      </c>
      <c r="AB1015">
        <v>3.9569999999999999</v>
      </c>
      <c r="AC1015">
        <v>30.51</v>
      </c>
      <c r="AE1015">
        <v>1</v>
      </c>
      <c r="AF1015" t="s">
        <v>2141</v>
      </c>
      <c r="AG1015">
        <v>17</v>
      </c>
      <c r="AK1015" t="s">
        <v>291</v>
      </c>
      <c r="AM1015" t="s">
        <v>98</v>
      </c>
      <c r="AN1015" t="s">
        <v>98</v>
      </c>
      <c r="AO1015" t="s">
        <v>291</v>
      </c>
      <c r="AP1015" t="s">
        <v>99</v>
      </c>
      <c r="AQ1015" t="s">
        <v>102</v>
      </c>
      <c r="AV1015" t="s">
        <v>98</v>
      </c>
      <c r="AX1015" t="s">
        <v>2750</v>
      </c>
      <c r="AZ1015" t="s">
        <v>535</v>
      </c>
      <c r="BB1015" t="s">
        <v>106</v>
      </c>
      <c r="BC1015" t="s">
        <v>2152</v>
      </c>
      <c r="BF1015" t="s">
        <v>3325</v>
      </c>
      <c r="BG1015" t="s">
        <v>98</v>
      </c>
      <c r="BH1015" t="s">
        <v>98</v>
      </c>
      <c r="BI1015" t="s">
        <v>98</v>
      </c>
      <c r="BK1015" t="s">
        <v>138</v>
      </c>
      <c r="BU1015">
        <v>6</v>
      </c>
      <c r="BW1015">
        <v>0.75</v>
      </c>
      <c r="BX1015" t="s">
        <v>3212</v>
      </c>
      <c r="BY1015" t="s">
        <v>291</v>
      </c>
      <c r="BZ1015" t="s">
        <v>2750</v>
      </c>
      <c r="CA1015" t="s">
        <v>3309</v>
      </c>
      <c r="CB1015" t="s">
        <v>2750</v>
      </c>
      <c r="CC1015">
        <v>133</v>
      </c>
      <c r="CD1015">
        <v>0.78</v>
      </c>
      <c r="CE1015">
        <v>95</v>
      </c>
      <c r="CF1015">
        <v>6452</v>
      </c>
      <c r="CG1015">
        <v>3000</v>
      </c>
      <c r="CH1015">
        <v>83</v>
      </c>
      <c r="CI1015">
        <v>1566</v>
      </c>
      <c r="CJ1015">
        <v>814</v>
      </c>
      <c r="CK1015">
        <v>30000</v>
      </c>
      <c r="CL1015" t="s">
        <v>291</v>
      </c>
      <c r="CM1015" t="s">
        <v>291</v>
      </c>
      <c r="CN1015" t="s">
        <v>3316</v>
      </c>
      <c r="CO1015" s="1">
        <v>42598</v>
      </c>
      <c r="CP1015" s="1">
        <v>43595</v>
      </c>
    </row>
    <row r="1016" spans="1:94" x14ac:dyDescent="0.25">
      <c r="A1016" s="4" t="s">
        <v>3326</v>
      </c>
      <c r="B1016" t="str">
        <f xml:space="preserve"> "" &amp; 706411055300</f>
        <v>706411055300</v>
      </c>
      <c r="C1016" t="s">
        <v>2225</v>
      </c>
      <c r="D1016" t="s">
        <v>4448</v>
      </c>
      <c r="E1016" t="str">
        <f t="shared" si="0"/>
        <v>ARTEMIS™ LED</v>
      </c>
      <c r="F1016" t="s">
        <v>2113</v>
      </c>
      <c r="G1016">
        <v>1</v>
      </c>
      <c r="H1016">
        <v>1</v>
      </c>
      <c r="I1016" t="s">
        <v>97</v>
      </c>
      <c r="J1016" s="32">
        <v>289.95</v>
      </c>
      <c r="K1016" s="32">
        <v>869.85</v>
      </c>
      <c r="L1016">
        <v>0</v>
      </c>
      <c r="N1016">
        <v>0</v>
      </c>
      <c r="Q1016" t="s">
        <v>291</v>
      </c>
      <c r="R1016" s="32">
        <v>549.95000000000005</v>
      </c>
      <c r="S1016">
        <v>13</v>
      </c>
      <c r="U1016">
        <v>58</v>
      </c>
      <c r="W1016">
        <v>25.51</v>
      </c>
      <c r="X1016">
        <v>1</v>
      </c>
      <c r="Y1016">
        <v>8.8800000000000008</v>
      </c>
      <c r="Z1016">
        <v>35</v>
      </c>
      <c r="AA1016">
        <v>22</v>
      </c>
      <c r="AB1016">
        <v>3.9569999999999999</v>
      </c>
      <c r="AC1016">
        <v>30.51</v>
      </c>
      <c r="AE1016">
        <v>1</v>
      </c>
      <c r="AF1016" t="s">
        <v>2141</v>
      </c>
      <c r="AG1016">
        <v>17</v>
      </c>
      <c r="AK1016" t="s">
        <v>291</v>
      </c>
      <c r="AM1016" t="s">
        <v>98</v>
      </c>
      <c r="AN1016" t="s">
        <v>98</v>
      </c>
      <c r="AO1016" t="s">
        <v>291</v>
      </c>
      <c r="AP1016" t="s">
        <v>99</v>
      </c>
      <c r="AQ1016" t="s">
        <v>102</v>
      </c>
      <c r="AV1016" t="s">
        <v>98</v>
      </c>
      <c r="AX1016" t="s">
        <v>302</v>
      </c>
      <c r="AZ1016" t="s">
        <v>535</v>
      </c>
      <c r="BB1016" t="s">
        <v>106</v>
      </c>
      <c r="BC1016" t="s">
        <v>2152</v>
      </c>
      <c r="BF1016" t="s">
        <v>3327</v>
      </c>
      <c r="BG1016" t="s">
        <v>98</v>
      </c>
      <c r="BH1016" t="s">
        <v>98</v>
      </c>
      <c r="BI1016" t="s">
        <v>98</v>
      </c>
      <c r="BK1016" t="s">
        <v>138</v>
      </c>
      <c r="BU1016">
        <v>6</v>
      </c>
      <c r="BW1016">
        <v>0.75</v>
      </c>
      <c r="BX1016" t="s">
        <v>3212</v>
      </c>
      <c r="BY1016" t="s">
        <v>291</v>
      </c>
      <c r="BZ1016" t="s">
        <v>302</v>
      </c>
      <c r="CA1016" t="s">
        <v>3309</v>
      </c>
      <c r="CB1016" t="s">
        <v>302</v>
      </c>
      <c r="CC1016">
        <v>133</v>
      </c>
      <c r="CD1016">
        <v>0.78</v>
      </c>
      <c r="CE1016">
        <v>95</v>
      </c>
      <c r="CF1016">
        <v>6452</v>
      </c>
      <c r="CG1016">
        <v>3000</v>
      </c>
      <c r="CH1016">
        <v>83</v>
      </c>
      <c r="CI1016">
        <v>1566</v>
      </c>
      <c r="CJ1016">
        <v>814</v>
      </c>
      <c r="CK1016">
        <v>30000</v>
      </c>
      <c r="CL1016" t="s">
        <v>291</v>
      </c>
      <c r="CM1016" t="s">
        <v>291</v>
      </c>
      <c r="CN1016" t="s">
        <v>3316</v>
      </c>
      <c r="CO1016" s="1">
        <v>42598</v>
      </c>
      <c r="CP1016" s="1">
        <v>43595</v>
      </c>
    </row>
    <row r="1017" spans="1:94" x14ac:dyDescent="0.25">
      <c r="A1017" s="4" t="s">
        <v>3328</v>
      </c>
      <c r="B1017" t="str">
        <f xml:space="preserve"> "" &amp; 706411029486</f>
        <v>706411029486</v>
      </c>
      <c r="C1017" t="s">
        <v>2178</v>
      </c>
      <c r="D1017" t="s">
        <v>4497</v>
      </c>
      <c r="E1017" t="str">
        <f xml:space="preserve"> "SANTA LUCIA" &amp;  CHAR(153) &amp; ""</f>
        <v>SANTA LUCIA™</v>
      </c>
      <c r="F1017" t="s">
        <v>2113</v>
      </c>
      <c r="G1017">
        <v>1</v>
      </c>
      <c r="H1017">
        <v>1</v>
      </c>
      <c r="I1017" t="s">
        <v>97</v>
      </c>
      <c r="J1017" s="32">
        <v>329.95</v>
      </c>
      <c r="K1017" s="32">
        <v>989.85</v>
      </c>
      <c r="L1017">
        <v>0</v>
      </c>
      <c r="N1017">
        <v>0</v>
      </c>
      <c r="S1017">
        <v>21</v>
      </c>
      <c r="T1017">
        <v>60</v>
      </c>
      <c r="U1017">
        <v>60</v>
      </c>
      <c r="W1017">
        <v>40.61</v>
      </c>
      <c r="X1017">
        <v>1</v>
      </c>
      <c r="Y1017">
        <v>13.38</v>
      </c>
      <c r="Z1017">
        <v>28.88</v>
      </c>
      <c r="AA1017">
        <v>17.38</v>
      </c>
      <c r="AB1017">
        <v>3.887</v>
      </c>
      <c r="AC1017">
        <v>46.39</v>
      </c>
      <c r="AE1017">
        <v>2</v>
      </c>
      <c r="AF1017" t="s">
        <v>3329</v>
      </c>
      <c r="AG1017">
        <v>50</v>
      </c>
      <c r="AK1017" t="s">
        <v>291</v>
      </c>
      <c r="AM1017" t="s">
        <v>98</v>
      </c>
      <c r="AN1017" t="s">
        <v>98</v>
      </c>
      <c r="AO1017" t="s">
        <v>291</v>
      </c>
      <c r="AP1017" t="s">
        <v>99</v>
      </c>
      <c r="AQ1017" t="s">
        <v>102</v>
      </c>
      <c r="AV1017" t="s">
        <v>98</v>
      </c>
      <c r="AX1017" t="s">
        <v>186</v>
      </c>
      <c r="AZ1017" t="s">
        <v>2235</v>
      </c>
      <c r="BB1017" t="s">
        <v>106</v>
      </c>
      <c r="BC1017" t="s">
        <v>3330</v>
      </c>
      <c r="BF1017" t="s">
        <v>3331</v>
      </c>
      <c r="BG1017" t="s">
        <v>98</v>
      </c>
      <c r="BH1017" t="s">
        <v>98</v>
      </c>
      <c r="BI1017" t="s">
        <v>98</v>
      </c>
      <c r="BK1017" t="s">
        <v>138</v>
      </c>
      <c r="BU1017">
        <v>6</v>
      </c>
      <c r="BW1017">
        <v>0.75</v>
      </c>
      <c r="BX1017" t="s">
        <v>2218</v>
      </c>
      <c r="BY1017" t="s">
        <v>291</v>
      </c>
      <c r="BZ1017" t="s">
        <v>2456</v>
      </c>
      <c r="CA1017" t="s">
        <v>3332</v>
      </c>
      <c r="CB1017" t="s">
        <v>186</v>
      </c>
      <c r="CC1017">
        <v>132</v>
      </c>
      <c r="CD1017">
        <v>0.68500000000000005</v>
      </c>
      <c r="CE1017">
        <v>81.72</v>
      </c>
      <c r="CF1017">
        <v>5837</v>
      </c>
      <c r="CL1017" t="s">
        <v>291</v>
      </c>
      <c r="CM1017" t="s">
        <v>291</v>
      </c>
      <c r="CN1017" t="s">
        <v>3333</v>
      </c>
      <c r="CO1017" s="1">
        <v>38699</v>
      </c>
      <c r="CP1017" s="1">
        <v>43595</v>
      </c>
    </row>
    <row r="1018" spans="1:94" x14ac:dyDescent="0.25">
      <c r="A1018" s="4" t="s">
        <v>3334</v>
      </c>
      <c r="B1018" t="str">
        <f xml:space="preserve"> "" &amp; 706411041365</f>
        <v>706411041365</v>
      </c>
      <c r="C1018" t="s">
        <v>2178</v>
      </c>
      <c r="D1018" t="s">
        <v>3335</v>
      </c>
      <c r="E1018" t="s">
        <v>3336</v>
      </c>
      <c r="F1018" t="s">
        <v>2113</v>
      </c>
      <c r="G1018">
        <v>1</v>
      </c>
      <c r="H1018">
        <v>1</v>
      </c>
      <c r="I1018" t="s">
        <v>97</v>
      </c>
      <c r="J1018" s="32">
        <v>399.95</v>
      </c>
      <c r="K1018" s="32">
        <v>1199.8499999999999</v>
      </c>
      <c r="L1018">
        <v>0</v>
      </c>
      <c r="N1018">
        <v>0</v>
      </c>
      <c r="Q1018" t="s">
        <v>291</v>
      </c>
      <c r="R1018" s="32">
        <v>799.95</v>
      </c>
      <c r="S1018">
        <v>13</v>
      </c>
      <c r="T1018">
        <v>52</v>
      </c>
      <c r="U1018">
        <v>52</v>
      </c>
      <c r="W1018">
        <v>13.51</v>
      </c>
      <c r="X1018">
        <v>1</v>
      </c>
      <c r="Y1018">
        <v>10</v>
      </c>
      <c r="Z1018">
        <v>55.25</v>
      </c>
      <c r="AA1018">
        <v>14</v>
      </c>
      <c r="AB1018">
        <v>4.476</v>
      </c>
      <c r="AC1018">
        <v>18.52</v>
      </c>
      <c r="AK1018" t="s">
        <v>98</v>
      </c>
      <c r="AM1018" t="s">
        <v>98</v>
      </c>
      <c r="AN1018" t="s">
        <v>291</v>
      </c>
      <c r="AO1018" t="s">
        <v>98</v>
      </c>
      <c r="AP1018" t="s">
        <v>99</v>
      </c>
      <c r="AQ1018" t="s">
        <v>102</v>
      </c>
      <c r="AV1018" t="s">
        <v>98</v>
      </c>
      <c r="AX1018" t="s">
        <v>703</v>
      </c>
      <c r="AZ1018" t="s">
        <v>2180</v>
      </c>
      <c r="BC1018" t="s">
        <v>485</v>
      </c>
      <c r="BF1018" t="s">
        <v>3337</v>
      </c>
      <c r="BG1018" t="s">
        <v>98</v>
      </c>
      <c r="BH1018" t="s">
        <v>98</v>
      </c>
      <c r="BI1018" t="s">
        <v>98</v>
      </c>
      <c r="BK1018" t="s">
        <v>138</v>
      </c>
      <c r="BU1018">
        <v>6</v>
      </c>
      <c r="BW1018">
        <v>0.75</v>
      </c>
      <c r="BX1018" t="s">
        <v>3212</v>
      </c>
      <c r="BY1018" t="s">
        <v>98</v>
      </c>
      <c r="BZ1018" t="s">
        <v>703</v>
      </c>
      <c r="CA1018" t="s">
        <v>3338</v>
      </c>
      <c r="CB1018" t="s">
        <v>703</v>
      </c>
      <c r="CC1018">
        <v>155</v>
      </c>
      <c r="CD1018">
        <v>0.44</v>
      </c>
      <c r="CE1018">
        <v>30.2</v>
      </c>
      <c r="CF1018">
        <v>5974</v>
      </c>
      <c r="CL1018" t="s">
        <v>98</v>
      </c>
      <c r="CM1018" t="s">
        <v>291</v>
      </c>
      <c r="CN1018" t="s">
        <v>3339</v>
      </c>
      <c r="CO1018" s="1">
        <v>40728</v>
      </c>
      <c r="CP1018" s="1">
        <v>43595</v>
      </c>
    </row>
    <row r="1019" spans="1:94" x14ac:dyDescent="0.25">
      <c r="A1019" s="4" t="s">
        <v>3340</v>
      </c>
      <c r="B1019" t="str">
        <f xml:space="preserve"> "" &amp; 706411038563</f>
        <v>706411038563</v>
      </c>
      <c r="C1019" t="s">
        <v>2178</v>
      </c>
      <c r="D1019" t="s">
        <v>3335</v>
      </c>
      <c r="E1019" t="s">
        <v>3336</v>
      </c>
      <c r="F1019" t="s">
        <v>2113</v>
      </c>
      <c r="G1019">
        <v>1</v>
      </c>
      <c r="H1019">
        <v>1</v>
      </c>
      <c r="I1019" t="s">
        <v>97</v>
      </c>
      <c r="J1019" s="32">
        <v>359.95</v>
      </c>
      <c r="K1019" s="32">
        <v>1079.8499999999999</v>
      </c>
      <c r="L1019">
        <v>0</v>
      </c>
      <c r="N1019">
        <v>0</v>
      </c>
      <c r="Q1019" t="s">
        <v>291</v>
      </c>
      <c r="R1019" s="32">
        <v>719.95</v>
      </c>
      <c r="S1019">
        <v>13</v>
      </c>
      <c r="T1019">
        <v>52</v>
      </c>
      <c r="U1019">
        <v>52</v>
      </c>
      <c r="W1019">
        <v>13.51</v>
      </c>
      <c r="X1019">
        <v>1</v>
      </c>
      <c r="Y1019">
        <v>10</v>
      </c>
      <c r="Z1019">
        <v>55.25</v>
      </c>
      <c r="AA1019">
        <v>14</v>
      </c>
      <c r="AB1019">
        <v>4.476</v>
      </c>
      <c r="AC1019">
        <v>18.52</v>
      </c>
      <c r="AK1019" t="s">
        <v>98</v>
      </c>
      <c r="AM1019" t="s">
        <v>98</v>
      </c>
      <c r="AN1019" t="s">
        <v>291</v>
      </c>
      <c r="AO1019" t="s">
        <v>98</v>
      </c>
      <c r="AP1019" t="s">
        <v>99</v>
      </c>
      <c r="AQ1019" t="s">
        <v>102</v>
      </c>
      <c r="AV1019" t="s">
        <v>98</v>
      </c>
      <c r="AX1019" t="s">
        <v>441</v>
      </c>
      <c r="AZ1019" t="s">
        <v>2180</v>
      </c>
      <c r="BC1019" t="s">
        <v>485</v>
      </c>
      <c r="BF1019" t="s">
        <v>3341</v>
      </c>
      <c r="BG1019" t="s">
        <v>98</v>
      </c>
      <c r="BH1019" t="s">
        <v>98</v>
      </c>
      <c r="BI1019" t="s">
        <v>98</v>
      </c>
      <c r="BK1019" t="s">
        <v>138</v>
      </c>
      <c r="BU1019">
        <v>6</v>
      </c>
      <c r="BW1019">
        <v>0.75</v>
      </c>
      <c r="BX1019" t="s">
        <v>3212</v>
      </c>
      <c r="BY1019" t="s">
        <v>98</v>
      </c>
      <c r="BZ1019" t="s">
        <v>3342</v>
      </c>
      <c r="CA1019" t="s">
        <v>3338</v>
      </c>
      <c r="CB1019" t="s">
        <v>441</v>
      </c>
      <c r="CC1019">
        <v>155</v>
      </c>
      <c r="CD1019">
        <v>0.44</v>
      </c>
      <c r="CE1019">
        <v>30.2</v>
      </c>
      <c r="CF1019">
        <v>5974</v>
      </c>
      <c r="CL1019" t="s">
        <v>98</v>
      </c>
      <c r="CM1019" t="s">
        <v>291</v>
      </c>
      <c r="CN1019" t="s">
        <v>3343</v>
      </c>
      <c r="CO1019" s="1">
        <v>40728</v>
      </c>
      <c r="CP1019" s="1">
        <v>43595</v>
      </c>
    </row>
    <row r="1020" spans="1:94" x14ac:dyDescent="0.25">
      <c r="A1020" s="4" t="s">
        <v>3344</v>
      </c>
      <c r="B1020" t="str">
        <f xml:space="preserve"> "" &amp; 706411038587</f>
        <v>706411038587</v>
      </c>
      <c r="C1020" t="s">
        <v>2178</v>
      </c>
      <c r="D1020" t="s">
        <v>3335</v>
      </c>
      <c r="E1020" t="s">
        <v>3336</v>
      </c>
      <c r="F1020" t="s">
        <v>2113</v>
      </c>
      <c r="G1020">
        <v>1</v>
      </c>
      <c r="H1020">
        <v>1</v>
      </c>
      <c r="I1020" t="s">
        <v>97</v>
      </c>
      <c r="J1020" s="32">
        <v>359.95</v>
      </c>
      <c r="K1020" s="32">
        <v>1079.8499999999999</v>
      </c>
      <c r="L1020">
        <v>0</v>
      </c>
      <c r="N1020">
        <v>0</v>
      </c>
      <c r="Q1020" t="s">
        <v>291</v>
      </c>
      <c r="R1020" s="32">
        <v>719.95</v>
      </c>
      <c r="S1020">
        <v>13</v>
      </c>
      <c r="T1020">
        <v>52</v>
      </c>
      <c r="U1020">
        <v>52</v>
      </c>
      <c r="W1020">
        <v>13.51</v>
      </c>
      <c r="X1020">
        <v>1</v>
      </c>
      <c r="Y1020">
        <v>10</v>
      </c>
      <c r="Z1020">
        <v>55.25</v>
      </c>
      <c r="AA1020">
        <v>14</v>
      </c>
      <c r="AB1020">
        <v>4.476</v>
      </c>
      <c r="AC1020">
        <v>18.52</v>
      </c>
      <c r="AK1020" t="s">
        <v>98</v>
      </c>
      <c r="AM1020" t="s">
        <v>98</v>
      </c>
      <c r="AN1020" t="s">
        <v>291</v>
      </c>
      <c r="AO1020" t="s">
        <v>98</v>
      </c>
      <c r="AP1020" t="s">
        <v>99</v>
      </c>
      <c r="AQ1020" t="s">
        <v>102</v>
      </c>
      <c r="AV1020" t="s">
        <v>98</v>
      </c>
      <c r="AX1020" t="s">
        <v>302</v>
      </c>
      <c r="AZ1020" t="s">
        <v>2180</v>
      </c>
      <c r="BC1020" t="s">
        <v>485</v>
      </c>
      <c r="BF1020" t="s">
        <v>3345</v>
      </c>
      <c r="BG1020" t="s">
        <v>98</v>
      </c>
      <c r="BH1020" t="s">
        <v>98</v>
      </c>
      <c r="BI1020" t="s">
        <v>98</v>
      </c>
      <c r="BK1020" t="s">
        <v>138</v>
      </c>
      <c r="BU1020">
        <v>6</v>
      </c>
      <c r="BW1020">
        <v>0.75</v>
      </c>
      <c r="BX1020" t="s">
        <v>3212</v>
      </c>
      <c r="BY1020" t="s">
        <v>98</v>
      </c>
      <c r="BZ1020" t="s">
        <v>302</v>
      </c>
      <c r="CA1020" t="s">
        <v>3338</v>
      </c>
      <c r="CB1020" t="s">
        <v>302</v>
      </c>
      <c r="CC1020">
        <v>155</v>
      </c>
      <c r="CD1020">
        <v>0.44</v>
      </c>
      <c r="CE1020">
        <v>30.2</v>
      </c>
      <c r="CF1020">
        <v>5974</v>
      </c>
      <c r="CL1020" t="s">
        <v>98</v>
      </c>
      <c r="CM1020" t="s">
        <v>291</v>
      </c>
      <c r="CN1020" t="s">
        <v>3343</v>
      </c>
      <c r="CO1020" s="1">
        <v>40728</v>
      </c>
      <c r="CP1020" s="1">
        <v>43595</v>
      </c>
    </row>
    <row r="1021" spans="1:94" x14ac:dyDescent="0.25">
      <c r="A1021" s="4" t="s">
        <v>3346</v>
      </c>
      <c r="B1021" t="str">
        <f xml:space="preserve"> "" &amp; 706411052644</f>
        <v>706411052644</v>
      </c>
      <c r="C1021" t="s">
        <v>3347</v>
      </c>
      <c r="D1021" t="s">
        <v>3348</v>
      </c>
      <c r="E1021" t="s">
        <v>3349</v>
      </c>
      <c r="F1021" t="s">
        <v>2113</v>
      </c>
      <c r="G1021">
        <v>1</v>
      </c>
      <c r="H1021">
        <v>1</v>
      </c>
      <c r="I1021" t="s">
        <v>97</v>
      </c>
      <c r="J1021" s="32">
        <v>199.95</v>
      </c>
      <c r="K1021" s="32">
        <v>599.85</v>
      </c>
      <c r="L1021">
        <v>0</v>
      </c>
      <c r="N1021">
        <v>0</v>
      </c>
      <c r="Q1021" t="s">
        <v>291</v>
      </c>
      <c r="R1021" s="32">
        <v>399.95</v>
      </c>
      <c r="S1021">
        <v>17.25</v>
      </c>
      <c r="T1021">
        <v>56</v>
      </c>
      <c r="U1021">
        <v>56</v>
      </c>
      <c r="W1021">
        <v>15.98</v>
      </c>
      <c r="X1021">
        <v>1</v>
      </c>
      <c r="Y1021">
        <v>10</v>
      </c>
      <c r="Z1021">
        <v>29.13</v>
      </c>
      <c r="AA1021">
        <v>7.88</v>
      </c>
      <c r="AB1021">
        <v>1.3280000000000001</v>
      </c>
      <c r="AC1021">
        <v>18.03</v>
      </c>
      <c r="AE1021">
        <v>1</v>
      </c>
      <c r="AF1021" t="s">
        <v>3350</v>
      </c>
      <c r="AG1021">
        <v>16</v>
      </c>
      <c r="AK1021" t="s">
        <v>291</v>
      </c>
      <c r="AM1021" t="s">
        <v>98</v>
      </c>
      <c r="AN1021" t="s">
        <v>291</v>
      </c>
      <c r="AO1021" t="s">
        <v>98</v>
      </c>
      <c r="AP1021" t="s">
        <v>99</v>
      </c>
      <c r="AQ1021" t="s">
        <v>102</v>
      </c>
      <c r="AV1021" t="s">
        <v>98</v>
      </c>
      <c r="AX1021" t="s">
        <v>150</v>
      </c>
      <c r="AZ1021" t="s">
        <v>2180</v>
      </c>
      <c r="BB1021" t="s">
        <v>106</v>
      </c>
      <c r="BC1021" t="s">
        <v>2684</v>
      </c>
      <c r="BF1021" t="s">
        <v>3351</v>
      </c>
      <c r="BG1021" t="s">
        <v>98</v>
      </c>
      <c r="BH1021" t="s">
        <v>98</v>
      </c>
      <c r="BI1021" t="s">
        <v>98</v>
      </c>
      <c r="BK1021" t="s">
        <v>138</v>
      </c>
      <c r="BU1021">
        <v>6</v>
      </c>
      <c r="BW1021">
        <v>0.75</v>
      </c>
      <c r="BX1021" t="s">
        <v>3352</v>
      </c>
      <c r="BY1021" t="s">
        <v>291</v>
      </c>
      <c r="BZ1021" t="s">
        <v>441</v>
      </c>
      <c r="CA1021" t="s">
        <v>3353</v>
      </c>
      <c r="CB1021" t="s">
        <v>150</v>
      </c>
      <c r="CC1021">
        <v>156</v>
      </c>
      <c r="CD1021">
        <v>0.55200000000000005</v>
      </c>
      <c r="CE1021">
        <v>32.11</v>
      </c>
      <c r="CF1021">
        <v>6276</v>
      </c>
      <c r="CG1021">
        <v>2700</v>
      </c>
      <c r="CH1021">
        <v>80</v>
      </c>
      <c r="CJ1021">
        <v>1352</v>
      </c>
      <c r="CK1021">
        <v>25000</v>
      </c>
      <c r="CL1021" t="s">
        <v>291</v>
      </c>
      <c r="CM1021" t="s">
        <v>291</v>
      </c>
      <c r="CN1021" t="s">
        <v>2228</v>
      </c>
      <c r="CO1021" s="1">
        <v>42140</v>
      </c>
      <c r="CP1021" s="1">
        <v>43595</v>
      </c>
    </row>
    <row r="1022" spans="1:94" x14ac:dyDescent="0.25">
      <c r="A1022" s="4" t="s">
        <v>3354</v>
      </c>
      <c r="B1022" t="str">
        <f xml:space="preserve"> "" &amp; 706411052651</f>
        <v>706411052651</v>
      </c>
      <c r="C1022" t="s">
        <v>3347</v>
      </c>
      <c r="D1022" t="s">
        <v>3348</v>
      </c>
      <c r="E1022" t="s">
        <v>3349</v>
      </c>
      <c r="F1022" t="s">
        <v>2113</v>
      </c>
      <c r="G1022">
        <v>1</v>
      </c>
      <c r="H1022">
        <v>1</v>
      </c>
      <c r="I1022" t="s">
        <v>97</v>
      </c>
      <c r="J1022" s="32">
        <v>199.95</v>
      </c>
      <c r="K1022" s="32">
        <v>599.85</v>
      </c>
      <c r="L1022">
        <v>0</v>
      </c>
      <c r="N1022">
        <v>0</v>
      </c>
      <c r="Q1022" t="s">
        <v>291</v>
      </c>
      <c r="R1022" s="32">
        <v>399.95</v>
      </c>
      <c r="S1022">
        <v>17.25</v>
      </c>
      <c r="T1022">
        <v>56</v>
      </c>
      <c r="U1022">
        <v>56</v>
      </c>
      <c r="W1022">
        <v>15.98</v>
      </c>
      <c r="X1022">
        <v>1</v>
      </c>
      <c r="Y1022">
        <v>10</v>
      </c>
      <c r="Z1022">
        <v>29.13</v>
      </c>
      <c r="AA1022">
        <v>7.88</v>
      </c>
      <c r="AB1022">
        <v>1.3280000000000001</v>
      </c>
      <c r="AC1022">
        <v>17.920000000000002</v>
      </c>
      <c r="AE1022">
        <v>1</v>
      </c>
      <c r="AF1022" t="s">
        <v>2141</v>
      </c>
      <c r="AG1022">
        <v>16</v>
      </c>
      <c r="AK1022" t="s">
        <v>291</v>
      </c>
      <c r="AM1022" t="s">
        <v>98</v>
      </c>
      <c r="AN1022" t="s">
        <v>291</v>
      </c>
      <c r="AO1022" t="s">
        <v>98</v>
      </c>
      <c r="AP1022" t="s">
        <v>99</v>
      </c>
      <c r="AQ1022" t="s">
        <v>102</v>
      </c>
      <c r="AV1022" t="s">
        <v>98</v>
      </c>
      <c r="AX1022" t="s">
        <v>2565</v>
      </c>
      <c r="AZ1022" t="s">
        <v>2180</v>
      </c>
      <c r="BB1022" t="s">
        <v>106</v>
      </c>
      <c r="BC1022" t="s">
        <v>2684</v>
      </c>
      <c r="BF1022" t="s">
        <v>3355</v>
      </c>
      <c r="BG1022" t="s">
        <v>98</v>
      </c>
      <c r="BH1022" t="s">
        <v>98</v>
      </c>
      <c r="BI1022" t="s">
        <v>98</v>
      </c>
      <c r="BK1022" t="s">
        <v>138</v>
      </c>
      <c r="BU1022">
        <v>6</v>
      </c>
      <c r="BW1022">
        <v>0.75</v>
      </c>
      <c r="BX1022" t="s">
        <v>3352</v>
      </c>
      <c r="BY1022" t="s">
        <v>291</v>
      </c>
      <c r="BZ1022" t="s">
        <v>2254</v>
      </c>
      <c r="CA1022" t="s">
        <v>3353</v>
      </c>
      <c r="CB1022" t="s">
        <v>2565</v>
      </c>
      <c r="CC1022">
        <v>156</v>
      </c>
      <c r="CD1022">
        <v>0.55200000000000005</v>
      </c>
      <c r="CE1022">
        <v>32.11</v>
      </c>
      <c r="CF1022">
        <v>6276</v>
      </c>
      <c r="CG1022">
        <v>3000</v>
      </c>
      <c r="CH1022">
        <v>82</v>
      </c>
      <c r="CI1022">
        <v>1231</v>
      </c>
      <c r="CJ1022">
        <v>710</v>
      </c>
      <c r="CK1022">
        <v>30000</v>
      </c>
      <c r="CL1022" t="s">
        <v>291</v>
      </c>
      <c r="CM1022" t="s">
        <v>291</v>
      </c>
      <c r="CN1022" t="s">
        <v>2228</v>
      </c>
      <c r="CO1022" s="1">
        <v>42140</v>
      </c>
      <c r="CP1022" s="1">
        <v>43595</v>
      </c>
    </row>
    <row r="1023" spans="1:94" x14ac:dyDescent="0.25">
      <c r="A1023" s="4" t="s">
        <v>3356</v>
      </c>
      <c r="B1023" t="str">
        <f xml:space="preserve"> "" &amp; 706411052668</f>
        <v>706411052668</v>
      </c>
      <c r="C1023" t="s">
        <v>3347</v>
      </c>
      <c r="D1023" t="s">
        <v>3348</v>
      </c>
      <c r="E1023" t="s">
        <v>3349</v>
      </c>
      <c r="F1023" t="s">
        <v>2113</v>
      </c>
      <c r="G1023">
        <v>1</v>
      </c>
      <c r="H1023">
        <v>1</v>
      </c>
      <c r="I1023" t="s">
        <v>97</v>
      </c>
      <c r="J1023" s="32">
        <v>199.95</v>
      </c>
      <c r="K1023" s="32">
        <v>599.85</v>
      </c>
      <c r="L1023">
        <v>0</v>
      </c>
      <c r="N1023">
        <v>0</v>
      </c>
      <c r="Q1023" t="s">
        <v>291</v>
      </c>
      <c r="R1023" s="32">
        <v>399.95</v>
      </c>
      <c r="S1023">
        <v>17.75</v>
      </c>
      <c r="T1023">
        <v>56</v>
      </c>
      <c r="U1023">
        <v>56</v>
      </c>
      <c r="W1023">
        <v>15.98</v>
      </c>
      <c r="X1023">
        <v>1</v>
      </c>
      <c r="Y1023">
        <v>10</v>
      </c>
      <c r="Z1023">
        <v>29.13</v>
      </c>
      <c r="AA1023">
        <v>7.88</v>
      </c>
      <c r="AB1023">
        <v>1.3280000000000001</v>
      </c>
      <c r="AC1023">
        <v>18.03</v>
      </c>
      <c r="AE1023">
        <v>1</v>
      </c>
      <c r="AF1023" t="s">
        <v>3350</v>
      </c>
      <c r="AG1023">
        <v>16</v>
      </c>
      <c r="AK1023" t="s">
        <v>291</v>
      </c>
      <c r="AM1023" t="s">
        <v>98</v>
      </c>
      <c r="AN1023" t="s">
        <v>291</v>
      </c>
      <c r="AO1023" t="s">
        <v>98</v>
      </c>
      <c r="AP1023" t="s">
        <v>99</v>
      </c>
      <c r="AQ1023" t="s">
        <v>102</v>
      </c>
      <c r="AV1023" t="s">
        <v>98</v>
      </c>
      <c r="AX1023" t="s">
        <v>3357</v>
      </c>
      <c r="AZ1023" t="s">
        <v>2180</v>
      </c>
      <c r="BB1023" t="s">
        <v>106</v>
      </c>
      <c r="BC1023" t="s">
        <v>2684</v>
      </c>
      <c r="BF1023" t="s">
        <v>3358</v>
      </c>
      <c r="BG1023" t="s">
        <v>98</v>
      </c>
      <c r="BH1023" t="s">
        <v>98</v>
      </c>
      <c r="BI1023" t="s">
        <v>98</v>
      </c>
      <c r="BK1023" t="s">
        <v>138</v>
      </c>
      <c r="BU1023">
        <v>6</v>
      </c>
      <c r="BW1023">
        <v>0.75</v>
      </c>
      <c r="BX1023" t="s">
        <v>3352</v>
      </c>
      <c r="BY1023" t="s">
        <v>291</v>
      </c>
      <c r="BZ1023" t="s">
        <v>302</v>
      </c>
      <c r="CA1023" t="s">
        <v>3353</v>
      </c>
      <c r="CB1023" t="s">
        <v>3357</v>
      </c>
      <c r="CC1023">
        <v>156</v>
      </c>
      <c r="CD1023">
        <v>0.55200000000000005</v>
      </c>
      <c r="CE1023">
        <v>32.11</v>
      </c>
      <c r="CF1023">
        <v>6276</v>
      </c>
      <c r="CG1023">
        <v>2700</v>
      </c>
      <c r="CH1023">
        <v>80</v>
      </c>
      <c r="CJ1023">
        <v>1352</v>
      </c>
      <c r="CK1023">
        <v>25000</v>
      </c>
      <c r="CL1023" t="s">
        <v>291</v>
      </c>
      <c r="CM1023" t="s">
        <v>291</v>
      </c>
      <c r="CO1023" s="1">
        <v>42140</v>
      </c>
      <c r="CP1023" s="1">
        <v>43595</v>
      </c>
    </row>
    <row r="1024" spans="1:94" x14ac:dyDescent="0.25">
      <c r="A1024" s="4" t="s">
        <v>3359</v>
      </c>
      <c r="B1024" t="str">
        <f xml:space="preserve"> "" &amp; 706411052675</f>
        <v>706411052675</v>
      </c>
      <c r="C1024" t="s">
        <v>3347</v>
      </c>
      <c r="D1024" t="s">
        <v>3348</v>
      </c>
      <c r="E1024" t="s">
        <v>3349</v>
      </c>
      <c r="F1024" t="s">
        <v>2113</v>
      </c>
      <c r="G1024">
        <v>1</v>
      </c>
      <c r="H1024">
        <v>1</v>
      </c>
      <c r="I1024" t="s">
        <v>97</v>
      </c>
      <c r="J1024" s="32">
        <v>199.95</v>
      </c>
      <c r="K1024" s="32">
        <v>599.85</v>
      </c>
      <c r="L1024">
        <v>0</v>
      </c>
      <c r="N1024">
        <v>0</v>
      </c>
      <c r="Q1024" t="s">
        <v>291</v>
      </c>
      <c r="R1024" s="32">
        <v>399.95</v>
      </c>
      <c r="S1024">
        <v>17.75</v>
      </c>
      <c r="T1024">
        <v>56</v>
      </c>
      <c r="U1024">
        <v>56</v>
      </c>
      <c r="W1024">
        <v>15.98</v>
      </c>
      <c r="X1024">
        <v>1</v>
      </c>
      <c r="Y1024">
        <v>10</v>
      </c>
      <c r="Z1024">
        <v>29.13</v>
      </c>
      <c r="AA1024">
        <v>7.88</v>
      </c>
      <c r="AB1024">
        <v>1.3280000000000001</v>
      </c>
      <c r="AC1024">
        <v>18.03</v>
      </c>
      <c r="AE1024">
        <v>1</v>
      </c>
      <c r="AF1024" t="s">
        <v>3350</v>
      </c>
      <c r="AG1024">
        <v>16</v>
      </c>
      <c r="AK1024" t="s">
        <v>291</v>
      </c>
      <c r="AM1024" t="s">
        <v>98</v>
      </c>
      <c r="AN1024" t="s">
        <v>291</v>
      </c>
      <c r="AO1024" t="s">
        <v>98</v>
      </c>
      <c r="AP1024" t="s">
        <v>99</v>
      </c>
      <c r="AQ1024" t="s">
        <v>102</v>
      </c>
      <c r="AV1024" t="s">
        <v>98</v>
      </c>
      <c r="AX1024" t="s">
        <v>245</v>
      </c>
      <c r="AZ1024" t="s">
        <v>2180</v>
      </c>
      <c r="BB1024" t="s">
        <v>106</v>
      </c>
      <c r="BC1024" t="s">
        <v>2152</v>
      </c>
      <c r="BF1024" t="s">
        <v>3360</v>
      </c>
      <c r="BG1024" t="s">
        <v>98</v>
      </c>
      <c r="BH1024" t="s">
        <v>98</v>
      </c>
      <c r="BI1024" t="s">
        <v>98</v>
      </c>
      <c r="BK1024" t="s">
        <v>138</v>
      </c>
      <c r="BU1024">
        <v>6</v>
      </c>
      <c r="BW1024">
        <v>0.75</v>
      </c>
      <c r="BX1024" t="s">
        <v>3352</v>
      </c>
      <c r="BY1024" t="s">
        <v>291</v>
      </c>
      <c r="BZ1024" t="s">
        <v>2159</v>
      </c>
      <c r="CA1024" t="s">
        <v>3353</v>
      </c>
      <c r="CB1024" t="s">
        <v>245</v>
      </c>
      <c r="CC1024">
        <v>1536</v>
      </c>
      <c r="CD1024">
        <v>0.55200000000000005</v>
      </c>
      <c r="CE1024">
        <v>32.11</v>
      </c>
      <c r="CF1024">
        <v>6276</v>
      </c>
      <c r="CG1024">
        <v>2700</v>
      </c>
      <c r="CH1024">
        <v>80</v>
      </c>
      <c r="CJ1024">
        <v>1352</v>
      </c>
      <c r="CK1024">
        <v>25000</v>
      </c>
      <c r="CL1024" t="s">
        <v>291</v>
      </c>
      <c r="CM1024" t="s">
        <v>291</v>
      </c>
      <c r="CN1024" t="s">
        <v>2228</v>
      </c>
      <c r="CO1024" s="1">
        <v>42140</v>
      </c>
      <c r="CP1024" s="1">
        <v>43595</v>
      </c>
    </row>
    <row r="1025" spans="1:94" x14ac:dyDescent="0.25">
      <c r="A1025" s="4" t="s">
        <v>3361</v>
      </c>
      <c r="B1025" t="str">
        <f xml:space="preserve"> "" &amp; 706411052682</f>
        <v>706411052682</v>
      </c>
      <c r="C1025" t="s">
        <v>3347</v>
      </c>
      <c r="D1025" t="s">
        <v>3348</v>
      </c>
      <c r="E1025" t="s">
        <v>3349</v>
      </c>
      <c r="F1025" t="s">
        <v>2113</v>
      </c>
      <c r="G1025">
        <v>1</v>
      </c>
      <c r="H1025">
        <v>1</v>
      </c>
      <c r="I1025" t="s">
        <v>97</v>
      </c>
      <c r="J1025" s="32">
        <v>199.95</v>
      </c>
      <c r="K1025" s="32">
        <v>599.85</v>
      </c>
      <c r="L1025">
        <v>0</v>
      </c>
      <c r="N1025">
        <v>0</v>
      </c>
      <c r="Q1025" t="s">
        <v>291</v>
      </c>
      <c r="R1025" s="32">
        <v>399.95</v>
      </c>
      <c r="S1025">
        <v>17.25</v>
      </c>
      <c r="T1025">
        <v>56</v>
      </c>
      <c r="U1025">
        <v>56</v>
      </c>
      <c r="W1025">
        <v>15.98</v>
      </c>
      <c r="X1025">
        <v>1</v>
      </c>
      <c r="Y1025">
        <v>10</v>
      </c>
      <c r="Z1025">
        <v>29.13</v>
      </c>
      <c r="AA1025">
        <v>7.88</v>
      </c>
      <c r="AB1025">
        <v>1.3280000000000001</v>
      </c>
      <c r="AC1025">
        <v>18.03</v>
      </c>
      <c r="AE1025">
        <v>1</v>
      </c>
      <c r="AF1025" t="s">
        <v>2141</v>
      </c>
      <c r="AG1025">
        <v>16</v>
      </c>
      <c r="AK1025" t="s">
        <v>291</v>
      </c>
      <c r="AM1025" t="s">
        <v>98</v>
      </c>
      <c r="AN1025" t="s">
        <v>291</v>
      </c>
      <c r="AO1025" t="s">
        <v>98</v>
      </c>
      <c r="AP1025" t="s">
        <v>99</v>
      </c>
      <c r="AQ1025" t="s">
        <v>102</v>
      </c>
      <c r="AV1025" t="s">
        <v>98</v>
      </c>
      <c r="AX1025" t="s">
        <v>306</v>
      </c>
      <c r="AZ1025" t="s">
        <v>2180</v>
      </c>
      <c r="BB1025" t="s">
        <v>106</v>
      </c>
      <c r="BC1025" t="s">
        <v>2684</v>
      </c>
      <c r="BF1025" t="s">
        <v>3362</v>
      </c>
      <c r="BG1025" t="s">
        <v>98</v>
      </c>
      <c r="BH1025" t="s">
        <v>98</v>
      </c>
      <c r="BI1025" t="s">
        <v>98</v>
      </c>
      <c r="BK1025" t="s">
        <v>138</v>
      </c>
      <c r="BU1025">
        <v>6</v>
      </c>
      <c r="BW1025">
        <v>0.75</v>
      </c>
      <c r="BX1025" t="s">
        <v>3352</v>
      </c>
      <c r="BY1025" t="s">
        <v>291</v>
      </c>
      <c r="BZ1025" t="s">
        <v>306</v>
      </c>
      <c r="CA1025" t="s">
        <v>3353</v>
      </c>
      <c r="CB1025" t="s">
        <v>306</v>
      </c>
      <c r="CC1025">
        <v>156</v>
      </c>
      <c r="CD1025">
        <v>0.55200000000000005</v>
      </c>
      <c r="CE1025">
        <v>32.11</v>
      </c>
      <c r="CF1025">
        <v>6276</v>
      </c>
      <c r="CG1025">
        <v>3000</v>
      </c>
      <c r="CH1025">
        <v>82</v>
      </c>
      <c r="CI1025">
        <v>1231</v>
      </c>
      <c r="CJ1025">
        <v>710</v>
      </c>
      <c r="CK1025">
        <v>30000</v>
      </c>
      <c r="CL1025" t="s">
        <v>291</v>
      </c>
      <c r="CM1025" t="s">
        <v>291</v>
      </c>
      <c r="CN1025" t="s">
        <v>2228</v>
      </c>
      <c r="CO1025" s="1">
        <v>42140</v>
      </c>
      <c r="CP1025" s="1">
        <v>43595</v>
      </c>
    </row>
    <row r="1026" spans="1:94" x14ac:dyDescent="0.25">
      <c r="A1026" s="4" t="s">
        <v>3363</v>
      </c>
      <c r="B1026" t="str">
        <f xml:space="preserve"> "" &amp; 706411059469</f>
        <v>706411059469</v>
      </c>
      <c r="C1026" t="s">
        <v>2482</v>
      </c>
      <c r="D1026" t="s">
        <v>3364</v>
      </c>
      <c r="E1026" t="s">
        <v>3365</v>
      </c>
      <c r="F1026" t="s">
        <v>2113</v>
      </c>
      <c r="G1026">
        <v>1</v>
      </c>
      <c r="H1026">
        <v>1</v>
      </c>
      <c r="I1026" t="s">
        <v>97</v>
      </c>
      <c r="J1026" s="32">
        <v>249.95</v>
      </c>
      <c r="K1026" s="32">
        <v>749.85</v>
      </c>
      <c r="L1026">
        <v>0</v>
      </c>
      <c r="N1026">
        <v>0</v>
      </c>
      <c r="Q1026" t="s">
        <v>291</v>
      </c>
      <c r="R1026" s="32">
        <v>499.95</v>
      </c>
      <c r="S1026">
        <v>16.5</v>
      </c>
      <c r="T1026">
        <v>56</v>
      </c>
      <c r="U1026">
        <v>56</v>
      </c>
      <c r="W1026">
        <v>13.49</v>
      </c>
      <c r="X1026">
        <v>1</v>
      </c>
      <c r="Y1026">
        <v>10.25</v>
      </c>
      <c r="Z1026">
        <v>28.63</v>
      </c>
      <c r="AA1026">
        <v>8.8800000000000008</v>
      </c>
      <c r="AB1026">
        <v>1.508</v>
      </c>
      <c r="AC1026">
        <v>15.37</v>
      </c>
      <c r="AE1026">
        <v>1</v>
      </c>
      <c r="AF1026" t="s">
        <v>2141</v>
      </c>
      <c r="AG1026">
        <v>20</v>
      </c>
      <c r="AK1026" t="s">
        <v>291</v>
      </c>
      <c r="AM1026" t="s">
        <v>98</v>
      </c>
      <c r="AN1026" t="s">
        <v>291</v>
      </c>
      <c r="AO1026" t="s">
        <v>98</v>
      </c>
      <c r="AP1026" t="s">
        <v>99</v>
      </c>
      <c r="AQ1026" t="s">
        <v>102</v>
      </c>
      <c r="AV1026" t="s">
        <v>98</v>
      </c>
      <c r="AX1026" t="s">
        <v>175</v>
      </c>
      <c r="AZ1026" t="s">
        <v>535</v>
      </c>
      <c r="BB1026" t="s">
        <v>106</v>
      </c>
      <c r="BC1026" t="s">
        <v>302</v>
      </c>
      <c r="BF1026" t="s">
        <v>3366</v>
      </c>
      <c r="BG1026" t="s">
        <v>98</v>
      </c>
      <c r="BH1026" t="s">
        <v>98</v>
      </c>
      <c r="BI1026" t="s">
        <v>98</v>
      </c>
      <c r="BK1026" t="s">
        <v>138</v>
      </c>
      <c r="BU1026">
        <v>6</v>
      </c>
      <c r="BW1026">
        <v>0.75</v>
      </c>
      <c r="BX1026" t="s">
        <v>3367</v>
      </c>
      <c r="BY1026" t="s">
        <v>291</v>
      </c>
      <c r="BZ1026" t="s">
        <v>175</v>
      </c>
      <c r="CA1026" t="s">
        <v>3368</v>
      </c>
      <c r="CB1026" t="s">
        <v>175</v>
      </c>
      <c r="CC1026">
        <v>181</v>
      </c>
      <c r="CD1026">
        <v>0.6</v>
      </c>
      <c r="CE1026">
        <v>50.83</v>
      </c>
      <c r="CF1026">
        <v>7594</v>
      </c>
      <c r="CG1026">
        <v>3000</v>
      </c>
      <c r="CH1026">
        <v>96</v>
      </c>
      <c r="CI1026">
        <v>1614.2</v>
      </c>
      <c r="CJ1026">
        <v>689.4</v>
      </c>
      <c r="CK1026">
        <v>30000</v>
      </c>
      <c r="CL1026" t="s">
        <v>291</v>
      </c>
      <c r="CM1026" t="s">
        <v>291</v>
      </c>
      <c r="CN1026" t="s">
        <v>2307</v>
      </c>
      <c r="CO1026" s="1">
        <v>43126</v>
      </c>
      <c r="CP1026" s="1">
        <v>43599</v>
      </c>
    </row>
    <row r="1027" spans="1:94" x14ac:dyDescent="0.25">
      <c r="A1027" s="4" t="s">
        <v>3369</v>
      </c>
      <c r="B1027" t="str">
        <f xml:space="preserve"> "" &amp; 706411058837</f>
        <v>706411058837</v>
      </c>
      <c r="C1027" t="s">
        <v>2482</v>
      </c>
      <c r="D1027" t="s">
        <v>3364</v>
      </c>
      <c r="E1027" t="s">
        <v>3365</v>
      </c>
      <c r="F1027" t="s">
        <v>2113</v>
      </c>
      <c r="G1027">
        <v>1</v>
      </c>
      <c r="H1027">
        <v>1</v>
      </c>
      <c r="I1027" t="s">
        <v>97</v>
      </c>
      <c r="J1027" s="32">
        <v>249.95</v>
      </c>
      <c r="K1027" s="32">
        <v>749.85</v>
      </c>
      <c r="L1027">
        <v>0</v>
      </c>
      <c r="N1027">
        <v>0</v>
      </c>
      <c r="Q1027" t="s">
        <v>291</v>
      </c>
      <c r="R1027" s="32">
        <v>499.95</v>
      </c>
      <c r="S1027">
        <v>16.5</v>
      </c>
      <c r="T1027">
        <v>56</v>
      </c>
      <c r="U1027">
        <v>56</v>
      </c>
      <c r="W1027">
        <v>13.49</v>
      </c>
      <c r="X1027">
        <v>1</v>
      </c>
      <c r="Y1027">
        <v>10.25</v>
      </c>
      <c r="Z1027">
        <v>28.63</v>
      </c>
      <c r="AA1027">
        <v>8.8800000000000008</v>
      </c>
      <c r="AB1027">
        <v>1.508</v>
      </c>
      <c r="AC1027">
        <v>15.37</v>
      </c>
      <c r="AE1027">
        <v>1</v>
      </c>
      <c r="AF1027" t="s">
        <v>2141</v>
      </c>
      <c r="AG1027">
        <v>20</v>
      </c>
      <c r="AK1027" t="s">
        <v>291</v>
      </c>
      <c r="AM1027" t="s">
        <v>98</v>
      </c>
      <c r="AN1027" t="s">
        <v>291</v>
      </c>
      <c r="AO1027" t="s">
        <v>98</v>
      </c>
      <c r="AP1027" t="s">
        <v>99</v>
      </c>
      <c r="AQ1027" t="s">
        <v>102</v>
      </c>
      <c r="AV1027" t="s">
        <v>98</v>
      </c>
      <c r="AX1027" t="s">
        <v>175</v>
      </c>
      <c r="AZ1027" t="s">
        <v>535</v>
      </c>
      <c r="BB1027" t="s">
        <v>106</v>
      </c>
      <c r="BC1027" t="s">
        <v>302</v>
      </c>
      <c r="BF1027" t="s">
        <v>3370</v>
      </c>
      <c r="BG1027" t="s">
        <v>98</v>
      </c>
      <c r="BH1027" t="s">
        <v>98</v>
      </c>
      <c r="BI1027" t="s">
        <v>98</v>
      </c>
      <c r="BK1027" t="s">
        <v>138</v>
      </c>
      <c r="BU1027">
        <v>6</v>
      </c>
      <c r="BW1027">
        <v>0.75</v>
      </c>
      <c r="BX1027" t="s">
        <v>3367</v>
      </c>
      <c r="BY1027" t="s">
        <v>291</v>
      </c>
      <c r="BZ1027" t="s">
        <v>441</v>
      </c>
      <c r="CA1027" t="s">
        <v>3368</v>
      </c>
      <c r="CB1027" t="s">
        <v>175</v>
      </c>
      <c r="CC1027">
        <v>181</v>
      </c>
      <c r="CD1027">
        <v>0.6</v>
      </c>
      <c r="CE1027">
        <v>50.83</v>
      </c>
      <c r="CF1027">
        <v>7594</v>
      </c>
      <c r="CG1027">
        <v>3000</v>
      </c>
      <c r="CH1027">
        <v>96</v>
      </c>
      <c r="CI1027">
        <v>1614.2</v>
      </c>
      <c r="CJ1027">
        <v>689.4</v>
      </c>
      <c r="CK1027">
        <v>30000</v>
      </c>
      <c r="CL1027" t="s">
        <v>291</v>
      </c>
      <c r="CM1027" t="s">
        <v>291</v>
      </c>
      <c r="CN1027" t="s">
        <v>2307</v>
      </c>
      <c r="CO1027" s="1">
        <v>43070</v>
      </c>
      <c r="CP1027" s="1">
        <v>43599</v>
      </c>
    </row>
    <row r="1028" spans="1:94" x14ac:dyDescent="0.25">
      <c r="A1028" s="4" t="s">
        <v>3371</v>
      </c>
      <c r="B1028" t="str">
        <f xml:space="preserve"> "" &amp; 706411058820</f>
        <v>706411058820</v>
      </c>
      <c r="C1028" t="s">
        <v>2482</v>
      </c>
      <c r="D1028" t="s">
        <v>3364</v>
      </c>
      <c r="E1028" t="s">
        <v>3365</v>
      </c>
      <c r="F1028" t="s">
        <v>2113</v>
      </c>
      <c r="G1028">
        <v>1</v>
      </c>
      <c r="H1028">
        <v>1</v>
      </c>
      <c r="I1028" t="s">
        <v>97</v>
      </c>
      <c r="J1028" s="32">
        <v>249.95</v>
      </c>
      <c r="K1028" s="32">
        <v>749.85</v>
      </c>
      <c r="L1028">
        <v>0</v>
      </c>
      <c r="N1028">
        <v>0</v>
      </c>
      <c r="Q1028" t="s">
        <v>291</v>
      </c>
      <c r="R1028" s="32">
        <v>499.95</v>
      </c>
      <c r="S1028">
        <v>16.5</v>
      </c>
      <c r="T1028">
        <v>56</v>
      </c>
      <c r="U1028">
        <v>56</v>
      </c>
      <c r="W1028">
        <v>13.49</v>
      </c>
      <c r="X1028">
        <v>1</v>
      </c>
      <c r="Y1028">
        <v>10.25</v>
      </c>
      <c r="Z1028">
        <v>28.63</v>
      </c>
      <c r="AA1028">
        <v>8.8800000000000008</v>
      </c>
      <c r="AB1028">
        <v>1.508</v>
      </c>
      <c r="AC1028">
        <v>15.37</v>
      </c>
      <c r="AE1028">
        <v>1</v>
      </c>
      <c r="AF1028" t="s">
        <v>2141</v>
      </c>
      <c r="AG1028">
        <v>20</v>
      </c>
      <c r="AK1028" t="s">
        <v>291</v>
      </c>
      <c r="AM1028" t="s">
        <v>98</v>
      </c>
      <c r="AN1028" t="s">
        <v>291</v>
      </c>
      <c r="AO1028" t="s">
        <v>98</v>
      </c>
      <c r="AP1028" t="s">
        <v>99</v>
      </c>
      <c r="AQ1028" t="s">
        <v>102</v>
      </c>
      <c r="AV1028" t="s">
        <v>98</v>
      </c>
      <c r="AX1028" t="s">
        <v>441</v>
      </c>
      <c r="AZ1028" t="s">
        <v>535</v>
      </c>
      <c r="BB1028" t="s">
        <v>106</v>
      </c>
      <c r="BC1028" t="s">
        <v>302</v>
      </c>
      <c r="BF1028" t="s">
        <v>3372</v>
      </c>
      <c r="BG1028" t="s">
        <v>98</v>
      </c>
      <c r="BH1028" t="s">
        <v>98</v>
      </c>
      <c r="BI1028" t="s">
        <v>98</v>
      </c>
      <c r="BK1028" t="s">
        <v>138</v>
      </c>
      <c r="BU1028">
        <v>6</v>
      </c>
      <c r="BW1028">
        <v>0.75</v>
      </c>
      <c r="BX1028" t="s">
        <v>3367</v>
      </c>
      <c r="BY1028" t="s">
        <v>291</v>
      </c>
      <c r="BZ1028" t="s">
        <v>441</v>
      </c>
      <c r="CA1028" t="s">
        <v>3368</v>
      </c>
      <c r="CB1028" t="s">
        <v>441</v>
      </c>
      <c r="CC1028">
        <v>181</v>
      </c>
      <c r="CD1028">
        <v>0.6</v>
      </c>
      <c r="CE1028">
        <v>50.83</v>
      </c>
      <c r="CF1028">
        <v>7594</v>
      </c>
      <c r="CG1028">
        <v>3000</v>
      </c>
      <c r="CH1028">
        <v>96</v>
      </c>
      <c r="CI1028">
        <v>1614.2</v>
      </c>
      <c r="CJ1028">
        <v>689.4</v>
      </c>
      <c r="CK1028">
        <v>30000</v>
      </c>
      <c r="CL1028" t="s">
        <v>291</v>
      </c>
      <c r="CM1028" t="s">
        <v>291</v>
      </c>
      <c r="CN1028" t="s">
        <v>2307</v>
      </c>
      <c r="CO1028" s="1">
        <v>43070</v>
      </c>
      <c r="CP1028" s="1">
        <v>43607</v>
      </c>
    </row>
    <row r="1029" spans="1:94" x14ac:dyDescent="0.25">
      <c r="A1029" s="4" t="s">
        <v>3373</v>
      </c>
      <c r="B1029" t="str">
        <f xml:space="preserve"> "" &amp; 706411058813</f>
        <v>706411058813</v>
      </c>
      <c r="C1029" t="s">
        <v>2482</v>
      </c>
      <c r="D1029" t="s">
        <v>3364</v>
      </c>
      <c r="E1029" t="s">
        <v>3365</v>
      </c>
      <c r="F1029" t="s">
        <v>2113</v>
      </c>
      <c r="G1029">
        <v>1</v>
      </c>
      <c r="H1029">
        <v>1</v>
      </c>
      <c r="I1029" t="s">
        <v>97</v>
      </c>
      <c r="J1029" s="32">
        <v>249.95</v>
      </c>
      <c r="K1029" s="32">
        <v>749.85</v>
      </c>
      <c r="L1029">
        <v>0</v>
      </c>
      <c r="N1029">
        <v>0</v>
      </c>
      <c r="Q1029" t="s">
        <v>291</v>
      </c>
      <c r="R1029" s="32">
        <v>499.95</v>
      </c>
      <c r="S1029">
        <v>16.5</v>
      </c>
      <c r="T1029">
        <v>56</v>
      </c>
      <c r="U1029">
        <v>56</v>
      </c>
      <c r="W1029">
        <v>13.49</v>
      </c>
      <c r="X1029">
        <v>1</v>
      </c>
      <c r="Y1029">
        <v>10.25</v>
      </c>
      <c r="Z1029">
        <v>28.63</v>
      </c>
      <c r="AA1029">
        <v>8.8800000000000008</v>
      </c>
      <c r="AB1029">
        <v>1.508</v>
      </c>
      <c r="AC1029">
        <v>15.37</v>
      </c>
      <c r="AE1029">
        <v>1</v>
      </c>
      <c r="AF1029" t="s">
        <v>2141</v>
      </c>
      <c r="AG1029">
        <v>20</v>
      </c>
      <c r="AK1029" t="s">
        <v>291</v>
      </c>
      <c r="AM1029" t="s">
        <v>98</v>
      </c>
      <c r="AN1029" t="s">
        <v>291</v>
      </c>
      <c r="AO1029" t="s">
        <v>98</v>
      </c>
      <c r="AP1029" t="s">
        <v>99</v>
      </c>
      <c r="AQ1029" t="s">
        <v>102</v>
      </c>
      <c r="AV1029" t="s">
        <v>98</v>
      </c>
      <c r="AX1029" t="s">
        <v>306</v>
      </c>
      <c r="AZ1029" t="s">
        <v>535</v>
      </c>
      <c r="BB1029" t="s">
        <v>106</v>
      </c>
      <c r="BC1029" t="s">
        <v>302</v>
      </c>
      <c r="BF1029" t="s">
        <v>3374</v>
      </c>
      <c r="BG1029" t="s">
        <v>98</v>
      </c>
      <c r="BH1029" t="s">
        <v>98</v>
      </c>
      <c r="BI1029" t="s">
        <v>98</v>
      </c>
      <c r="BK1029" t="s">
        <v>138</v>
      </c>
      <c r="BU1029">
        <v>6</v>
      </c>
      <c r="BW1029">
        <v>0.75</v>
      </c>
      <c r="BX1029" t="s">
        <v>3212</v>
      </c>
      <c r="BY1029" t="s">
        <v>291</v>
      </c>
      <c r="BZ1029" t="s">
        <v>306</v>
      </c>
      <c r="CA1029" t="s">
        <v>3368</v>
      </c>
      <c r="CB1029" t="s">
        <v>306</v>
      </c>
      <c r="CC1029">
        <v>181</v>
      </c>
      <c r="CD1029">
        <v>0.6</v>
      </c>
      <c r="CE1029">
        <v>50.83</v>
      </c>
      <c r="CF1029">
        <v>7594</v>
      </c>
      <c r="CG1029">
        <v>3000</v>
      </c>
      <c r="CH1029">
        <v>96</v>
      </c>
      <c r="CI1029">
        <v>1614.2</v>
      </c>
      <c r="CJ1029">
        <v>689.4</v>
      </c>
      <c r="CK1029">
        <v>30000</v>
      </c>
      <c r="CL1029" t="s">
        <v>291</v>
      </c>
      <c r="CM1029" t="s">
        <v>291</v>
      </c>
      <c r="CN1029" t="s">
        <v>2307</v>
      </c>
      <c r="CO1029" s="1">
        <v>43070</v>
      </c>
      <c r="CP1029" s="1">
        <v>43607</v>
      </c>
    </row>
    <row r="1030" spans="1:94" x14ac:dyDescent="0.25">
      <c r="A1030" s="4" t="s">
        <v>3375</v>
      </c>
      <c r="B1030" t="str">
        <f xml:space="preserve"> "" &amp; 706411060601</f>
        <v>706411060601</v>
      </c>
      <c r="C1030" t="s">
        <v>3376</v>
      </c>
      <c r="D1030" t="s">
        <v>3377</v>
      </c>
      <c r="E1030" t="s">
        <v>3378</v>
      </c>
      <c r="F1030" t="s">
        <v>2113</v>
      </c>
      <c r="G1030">
        <v>1</v>
      </c>
      <c r="H1030">
        <v>1</v>
      </c>
      <c r="I1030" t="s">
        <v>97</v>
      </c>
      <c r="J1030" s="32">
        <v>199.95</v>
      </c>
      <c r="K1030" s="32">
        <v>599.85</v>
      </c>
      <c r="L1030">
        <v>0</v>
      </c>
      <c r="N1030">
        <v>0</v>
      </c>
      <c r="Q1030" t="s">
        <v>291</v>
      </c>
      <c r="R1030" s="32">
        <v>399.95</v>
      </c>
      <c r="S1030">
        <v>16</v>
      </c>
      <c r="T1030">
        <v>60</v>
      </c>
      <c r="U1030">
        <v>60</v>
      </c>
      <c r="W1030">
        <v>13.89</v>
      </c>
      <c r="X1030">
        <v>1</v>
      </c>
      <c r="Y1030">
        <v>11.75</v>
      </c>
      <c r="Z1030">
        <v>36.5</v>
      </c>
      <c r="AA1030">
        <v>13.38</v>
      </c>
      <c r="AB1030">
        <v>3.3210000000000002</v>
      </c>
      <c r="AC1030">
        <v>18.3</v>
      </c>
      <c r="AE1030">
        <v>1</v>
      </c>
      <c r="AF1030" t="s">
        <v>2141</v>
      </c>
      <c r="AG1030">
        <v>15</v>
      </c>
      <c r="AK1030" t="s">
        <v>291</v>
      </c>
      <c r="AM1030" t="s">
        <v>98</v>
      </c>
      <c r="AN1030" t="s">
        <v>291</v>
      </c>
      <c r="AO1030" t="s">
        <v>98</v>
      </c>
      <c r="AP1030" t="s">
        <v>99</v>
      </c>
      <c r="AQ1030" t="s">
        <v>102</v>
      </c>
      <c r="AV1030" t="s">
        <v>98</v>
      </c>
      <c r="AX1030" t="s">
        <v>3379</v>
      </c>
      <c r="AZ1030" t="s">
        <v>535</v>
      </c>
      <c r="BB1030" t="s">
        <v>106</v>
      </c>
      <c r="BC1030" t="s">
        <v>302</v>
      </c>
      <c r="BF1030" t="s">
        <v>3380</v>
      </c>
      <c r="BG1030" t="s">
        <v>98</v>
      </c>
      <c r="BH1030" t="s">
        <v>98</v>
      </c>
      <c r="BI1030" t="s">
        <v>98</v>
      </c>
      <c r="BK1030" t="s">
        <v>138</v>
      </c>
      <c r="BU1030">
        <v>6</v>
      </c>
      <c r="BW1030">
        <v>0.75</v>
      </c>
      <c r="BX1030" t="s">
        <v>3212</v>
      </c>
      <c r="BY1030" t="s">
        <v>291</v>
      </c>
      <c r="BZ1030" t="s">
        <v>3379</v>
      </c>
      <c r="CA1030" t="s">
        <v>3381</v>
      </c>
      <c r="CB1030" t="s">
        <v>3379</v>
      </c>
      <c r="CC1030">
        <v>169</v>
      </c>
      <c r="CD1030">
        <v>0.56299999999999994</v>
      </c>
      <c r="CE1030">
        <v>39.9</v>
      </c>
      <c r="CF1030">
        <v>7652</v>
      </c>
      <c r="CG1030">
        <v>3000</v>
      </c>
      <c r="CH1030">
        <v>92</v>
      </c>
      <c r="CI1030">
        <v>1127</v>
      </c>
      <c r="CJ1030">
        <v>1010</v>
      </c>
      <c r="CK1030">
        <v>30000</v>
      </c>
      <c r="CL1030" t="s">
        <v>291</v>
      </c>
      <c r="CM1030" t="s">
        <v>291</v>
      </c>
      <c r="CN1030" t="s">
        <v>2156</v>
      </c>
      <c r="CO1030" s="1">
        <v>43241</v>
      </c>
      <c r="CP1030" s="1">
        <v>43595</v>
      </c>
    </row>
    <row r="1031" spans="1:94" x14ac:dyDescent="0.25">
      <c r="A1031" s="4" t="s">
        <v>3382</v>
      </c>
      <c r="B1031" t="str">
        <f xml:space="preserve"> "" &amp; 706411058660</f>
        <v>706411058660</v>
      </c>
      <c r="C1031" t="s">
        <v>3376</v>
      </c>
      <c r="D1031" t="s">
        <v>3377</v>
      </c>
      <c r="E1031" t="s">
        <v>3378</v>
      </c>
      <c r="F1031" t="s">
        <v>2113</v>
      </c>
      <c r="G1031">
        <v>1</v>
      </c>
      <c r="H1031">
        <v>1</v>
      </c>
      <c r="I1031" t="s">
        <v>97</v>
      </c>
      <c r="J1031" s="32">
        <v>189.95</v>
      </c>
      <c r="K1031" s="32">
        <v>569.85</v>
      </c>
      <c r="L1031">
        <v>0</v>
      </c>
      <c r="N1031">
        <v>0</v>
      </c>
      <c r="Q1031" t="s">
        <v>291</v>
      </c>
      <c r="R1031" s="32">
        <v>379.95</v>
      </c>
      <c r="S1031">
        <v>16</v>
      </c>
      <c r="T1031">
        <v>60</v>
      </c>
      <c r="U1031">
        <v>60</v>
      </c>
      <c r="W1031">
        <v>13.89</v>
      </c>
      <c r="X1031">
        <v>1</v>
      </c>
      <c r="Y1031">
        <v>11.75</v>
      </c>
      <c r="Z1031">
        <v>36.5</v>
      </c>
      <c r="AA1031">
        <v>13.38</v>
      </c>
      <c r="AB1031">
        <v>3.3210000000000002</v>
      </c>
      <c r="AC1031">
        <v>18.3</v>
      </c>
      <c r="AE1031">
        <v>1</v>
      </c>
      <c r="AF1031" t="s">
        <v>2141</v>
      </c>
      <c r="AG1031">
        <v>15</v>
      </c>
      <c r="AK1031" t="s">
        <v>291</v>
      </c>
      <c r="AM1031" t="s">
        <v>98</v>
      </c>
      <c r="AN1031" t="s">
        <v>291</v>
      </c>
      <c r="AO1031" t="s">
        <v>98</v>
      </c>
      <c r="AP1031" t="s">
        <v>99</v>
      </c>
      <c r="AQ1031" t="s">
        <v>102</v>
      </c>
      <c r="AV1031" t="s">
        <v>98</v>
      </c>
      <c r="AX1031" t="s">
        <v>245</v>
      </c>
      <c r="AZ1031" t="s">
        <v>535</v>
      </c>
      <c r="BB1031" t="s">
        <v>106</v>
      </c>
      <c r="BC1031" t="s">
        <v>2969</v>
      </c>
      <c r="BF1031" t="s">
        <v>3383</v>
      </c>
      <c r="BG1031" t="s">
        <v>98</v>
      </c>
      <c r="BH1031" t="s">
        <v>98</v>
      </c>
      <c r="BI1031" t="s">
        <v>98</v>
      </c>
      <c r="BK1031" t="s">
        <v>138</v>
      </c>
      <c r="BU1031">
        <v>6</v>
      </c>
      <c r="BW1031">
        <v>0.75</v>
      </c>
      <c r="BX1031" t="s">
        <v>3212</v>
      </c>
      <c r="BY1031" t="s">
        <v>291</v>
      </c>
      <c r="BZ1031" t="s">
        <v>245</v>
      </c>
      <c r="CA1031" t="s">
        <v>3381</v>
      </c>
      <c r="CB1031" t="s">
        <v>245</v>
      </c>
      <c r="CC1031">
        <v>169</v>
      </c>
      <c r="CD1031">
        <v>0.56299999999999994</v>
      </c>
      <c r="CE1031">
        <v>39.9</v>
      </c>
      <c r="CF1031">
        <v>7652</v>
      </c>
      <c r="CG1031">
        <v>3000</v>
      </c>
      <c r="CH1031">
        <v>92</v>
      </c>
      <c r="CI1031">
        <v>1127</v>
      </c>
      <c r="CJ1031">
        <v>1010</v>
      </c>
      <c r="CK1031">
        <v>30000</v>
      </c>
      <c r="CL1031" t="s">
        <v>291</v>
      </c>
      <c r="CM1031" t="s">
        <v>291</v>
      </c>
      <c r="CN1031" t="s">
        <v>2156</v>
      </c>
      <c r="CO1031" s="1">
        <v>43069</v>
      </c>
      <c r="CP1031" s="1">
        <v>43595</v>
      </c>
    </row>
    <row r="1032" spans="1:94" x14ac:dyDescent="0.25">
      <c r="A1032" s="4" t="s">
        <v>3384</v>
      </c>
      <c r="B1032" t="str">
        <f xml:space="preserve"> "" &amp; 706411059308</f>
        <v>706411059308</v>
      </c>
      <c r="C1032" t="s">
        <v>3385</v>
      </c>
      <c r="D1032" t="s">
        <v>3377</v>
      </c>
      <c r="E1032" t="s">
        <v>3378</v>
      </c>
      <c r="F1032" t="s">
        <v>2113</v>
      </c>
      <c r="G1032">
        <v>1</v>
      </c>
      <c r="H1032">
        <v>1</v>
      </c>
      <c r="I1032" t="s">
        <v>97</v>
      </c>
      <c r="J1032" s="32">
        <v>189.95</v>
      </c>
      <c r="K1032" s="32">
        <v>569.85</v>
      </c>
      <c r="L1032">
        <v>0</v>
      </c>
      <c r="N1032">
        <v>0</v>
      </c>
      <c r="Q1032" t="s">
        <v>291</v>
      </c>
      <c r="R1032" s="32">
        <v>379.95</v>
      </c>
      <c r="S1032">
        <v>16</v>
      </c>
      <c r="T1032">
        <v>60</v>
      </c>
      <c r="U1032">
        <v>60</v>
      </c>
      <c r="W1032">
        <v>13.89</v>
      </c>
      <c r="X1032">
        <v>1</v>
      </c>
      <c r="Y1032">
        <v>11.75</v>
      </c>
      <c r="Z1032">
        <v>36.5</v>
      </c>
      <c r="AA1032">
        <v>13.38</v>
      </c>
      <c r="AB1032">
        <v>3.3210000000000002</v>
      </c>
      <c r="AC1032">
        <v>18.3</v>
      </c>
      <c r="AE1032">
        <v>1</v>
      </c>
      <c r="AF1032" t="s">
        <v>2141</v>
      </c>
      <c r="AG1032">
        <v>15</v>
      </c>
      <c r="AK1032" t="s">
        <v>291</v>
      </c>
      <c r="AM1032" t="s">
        <v>98</v>
      </c>
      <c r="AN1032" t="s">
        <v>291</v>
      </c>
      <c r="AO1032" t="s">
        <v>98</v>
      </c>
      <c r="AP1032" t="s">
        <v>99</v>
      </c>
      <c r="AQ1032" t="s">
        <v>102</v>
      </c>
      <c r="AV1032" t="s">
        <v>98</v>
      </c>
      <c r="AX1032" t="s">
        <v>441</v>
      </c>
      <c r="AZ1032" t="s">
        <v>535</v>
      </c>
      <c r="BB1032" t="s">
        <v>106</v>
      </c>
      <c r="BC1032" t="s">
        <v>2969</v>
      </c>
      <c r="BF1032" t="s">
        <v>3386</v>
      </c>
      <c r="BG1032" t="s">
        <v>98</v>
      </c>
      <c r="BH1032" t="s">
        <v>98</v>
      </c>
      <c r="BI1032" t="s">
        <v>98</v>
      </c>
      <c r="BK1032" t="s">
        <v>138</v>
      </c>
      <c r="BU1032">
        <v>6</v>
      </c>
      <c r="BW1032">
        <v>0.75</v>
      </c>
      <c r="BX1032" t="s">
        <v>3212</v>
      </c>
      <c r="BY1032" t="s">
        <v>291</v>
      </c>
      <c r="BZ1032" t="s">
        <v>441</v>
      </c>
      <c r="CA1032" t="s">
        <v>3381</v>
      </c>
      <c r="CB1032" t="s">
        <v>441</v>
      </c>
      <c r="CC1032">
        <v>169</v>
      </c>
      <c r="CD1032">
        <v>0.56299999999999994</v>
      </c>
      <c r="CE1032">
        <v>39.9</v>
      </c>
      <c r="CF1032">
        <v>7652</v>
      </c>
      <c r="CG1032">
        <v>3000</v>
      </c>
      <c r="CH1032">
        <v>92</v>
      </c>
      <c r="CI1032">
        <v>1127</v>
      </c>
      <c r="CJ1032">
        <v>1010</v>
      </c>
      <c r="CK1032">
        <v>30000</v>
      </c>
      <c r="CL1032" t="s">
        <v>291</v>
      </c>
      <c r="CM1032" t="s">
        <v>291</v>
      </c>
      <c r="CN1032" t="s">
        <v>2156</v>
      </c>
      <c r="CO1032" s="1">
        <v>43068</v>
      </c>
      <c r="CP1032" s="1">
        <v>43595</v>
      </c>
    </row>
    <row r="1033" spans="1:94" x14ac:dyDescent="0.25">
      <c r="A1033" s="4" t="s">
        <v>3387</v>
      </c>
      <c r="B1033" t="str">
        <f xml:space="preserve"> "" &amp; 706411060267</f>
        <v>706411060267</v>
      </c>
      <c r="C1033" t="s">
        <v>3376</v>
      </c>
      <c r="D1033" t="s">
        <v>3377</v>
      </c>
      <c r="E1033" t="s">
        <v>3378</v>
      </c>
      <c r="F1033" t="s">
        <v>2113</v>
      </c>
      <c r="G1033">
        <v>1</v>
      </c>
      <c r="H1033">
        <v>1</v>
      </c>
      <c r="I1033" t="s">
        <v>97</v>
      </c>
      <c r="J1033" s="32">
        <v>199.95</v>
      </c>
      <c r="K1033" s="32">
        <v>599.85</v>
      </c>
      <c r="L1033">
        <v>0</v>
      </c>
      <c r="N1033">
        <v>0</v>
      </c>
      <c r="Q1033" t="s">
        <v>291</v>
      </c>
      <c r="R1033" s="32">
        <v>399.95</v>
      </c>
      <c r="S1033">
        <v>16</v>
      </c>
      <c r="T1033">
        <v>60</v>
      </c>
      <c r="U1033">
        <v>60</v>
      </c>
      <c r="W1033">
        <v>13.89</v>
      </c>
      <c r="X1033">
        <v>1</v>
      </c>
      <c r="Y1033">
        <v>11.75</v>
      </c>
      <c r="Z1033">
        <v>36.5</v>
      </c>
      <c r="AA1033">
        <v>13.38</v>
      </c>
      <c r="AB1033">
        <v>3.3210000000000002</v>
      </c>
      <c r="AC1033">
        <v>18.3</v>
      </c>
      <c r="AE1033">
        <v>1</v>
      </c>
      <c r="AF1033" t="s">
        <v>2141</v>
      </c>
      <c r="AG1033">
        <v>15</v>
      </c>
      <c r="AK1033" t="s">
        <v>291</v>
      </c>
      <c r="AM1033" t="s">
        <v>98</v>
      </c>
      <c r="AN1033" t="s">
        <v>291</v>
      </c>
      <c r="AO1033" t="s">
        <v>98</v>
      </c>
      <c r="AP1033" t="s">
        <v>99</v>
      </c>
      <c r="AQ1033" t="s">
        <v>102</v>
      </c>
      <c r="AV1033" t="s">
        <v>98</v>
      </c>
      <c r="AX1033" t="s">
        <v>3388</v>
      </c>
      <c r="AZ1033" t="s">
        <v>535</v>
      </c>
      <c r="BB1033" t="s">
        <v>106</v>
      </c>
      <c r="BC1033" t="s">
        <v>2969</v>
      </c>
      <c r="BF1033" t="s">
        <v>3389</v>
      </c>
      <c r="BG1033" t="s">
        <v>98</v>
      </c>
      <c r="BH1033" t="s">
        <v>98</v>
      </c>
      <c r="BI1033" t="s">
        <v>98</v>
      </c>
      <c r="BK1033" t="s">
        <v>138</v>
      </c>
      <c r="BU1033">
        <v>6</v>
      </c>
      <c r="BW1033">
        <v>0.75</v>
      </c>
      <c r="BX1033" t="s">
        <v>3212</v>
      </c>
      <c r="BY1033" t="s">
        <v>291</v>
      </c>
      <c r="BZ1033" t="s">
        <v>3390</v>
      </c>
      <c r="CA1033" t="s">
        <v>3381</v>
      </c>
      <c r="CB1033" t="s">
        <v>3388</v>
      </c>
      <c r="CC1033">
        <v>169</v>
      </c>
      <c r="CD1033">
        <v>0.56299999999999994</v>
      </c>
      <c r="CE1033">
        <v>39.9</v>
      </c>
      <c r="CF1033">
        <v>7652</v>
      </c>
      <c r="CG1033">
        <v>3000</v>
      </c>
      <c r="CH1033">
        <v>92</v>
      </c>
      <c r="CI1033">
        <v>1127</v>
      </c>
      <c r="CJ1033">
        <v>1010</v>
      </c>
      <c r="CK1033">
        <v>30000</v>
      </c>
      <c r="CL1033" t="s">
        <v>291</v>
      </c>
      <c r="CM1033" t="s">
        <v>291</v>
      </c>
      <c r="CN1033" t="s">
        <v>2972</v>
      </c>
      <c r="CO1033" s="1">
        <v>43152</v>
      </c>
      <c r="CP1033" s="1">
        <v>43614</v>
      </c>
    </row>
    <row r="1034" spans="1:94" x14ac:dyDescent="0.25">
      <c r="A1034" s="4" t="s">
        <v>3391</v>
      </c>
      <c r="B1034" t="str">
        <f xml:space="preserve"> "" &amp; 706411059230</f>
        <v>706411059230</v>
      </c>
      <c r="C1034" t="s">
        <v>3376</v>
      </c>
      <c r="D1034" t="s">
        <v>3377</v>
      </c>
      <c r="E1034" t="s">
        <v>3378</v>
      </c>
      <c r="F1034" t="s">
        <v>2113</v>
      </c>
      <c r="G1034">
        <v>1</v>
      </c>
      <c r="H1034">
        <v>1</v>
      </c>
      <c r="I1034" t="s">
        <v>97</v>
      </c>
      <c r="J1034" s="32">
        <v>189.95</v>
      </c>
      <c r="K1034" s="32">
        <v>569.85</v>
      </c>
      <c r="L1034">
        <v>0</v>
      </c>
      <c r="N1034">
        <v>0</v>
      </c>
      <c r="Q1034" t="s">
        <v>291</v>
      </c>
      <c r="R1034" s="32">
        <v>379.95</v>
      </c>
      <c r="S1034">
        <v>16</v>
      </c>
      <c r="T1034">
        <v>60</v>
      </c>
      <c r="U1034">
        <v>60</v>
      </c>
      <c r="W1034">
        <v>13.89</v>
      </c>
      <c r="X1034">
        <v>1</v>
      </c>
      <c r="Y1034">
        <v>11.75</v>
      </c>
      <c r="Z1034">
        <v>36.5</v>
      </c>
      <c r="AA1034">
        <v>13.38</v>
      </c>
      <c r="AB1034">
        <v>3.3210000000000002</v>
      </c>
      <c r="AC1034">
        <v>18.3</v>
      </c>
      <c r="AE1034">
        <v>1</v>
      </c>
      <c r="AF1034" t="s">
        <v>2141</v>
      </c>
      <c r="AG1034">
        <v>15</v>
      </c>
      <c r="AK1034" t="s">
        <v>291</v>
      </c>
      <c r="AM1034" t="s">
        <v>98</v>
      </c>
      <c r="AN1034" t="s">
        <v>291</v>
      </c>
      <c r="AO1034" t="s">
        <v>98</v>
      </c>
      <c r="AP1034" t="s">
        <v>99</v>
      </c>
      <c r="AQ1034" t="s">
        <v>102</v>
      </c>
      <c r="AV1034" t="s">
        <v>98</v>
      </c>
      <c r="AX1034" t="s">
        <v>306</v>
      </c>
      <c r="AZ1034" t="s">
        <v>535</v>
      </c>
      <c r="BB1034" t="s">
        <v>106</v>
      </c>
      <c r="BC1034" t="s">
        <v>2969</v>
      </c>
      <c r="BF1034" t="s">
        <v>3392</v>
      </c>
      <c r="BG1034" t="s">
        <v>98</v>
      </c>
      <c r="BH1034" t="s">
        <v>98</v>
      </c>
      <c r="BI1034" t="s">
        <v>98</v>
      </c>
      <c r="BK1034" t="s">
        <v>138</v>
      </c>
      <c r="BU1034">
        <v>6</v>
      </c>
      <c r="BW1034">
        <v>0.75</v>
      </c>
      <c r="BX1034" t="s">
        <v>3212</v>
      </c>
      <c r="BY1034" t="s">
        <v>291</v>
      </c>
      <c r="BZ1034" t="s">
        <v>306</v>
      </c>
      <c r="CA1034" t="s">
        <v>3381</v>
      </c>
      <c r="CB1034" t="s">
        <v>306</v>
      </c>
      <c r="CC1034">
        <v>169</v>
      </c>
      <c r="CD1034">
        <v>0.56299999999999994</v>
      </c>
      <c r="CE1034">
        <v>39.9</v>
      </c>
      <c r="CF1034">
        <v>7652</v>
      </c>
      <c r="CG1034">
        <v>3000</v>
      </c>
      <c r="CH1034">
        <v>92</v>
      </c>
      <c r="CI1034">
        <v>1127</v>
      </c>
      <c r="CJ1034">
        <v>1010</v>
      </c>
      <c r="CK1034">
        <v>30000</v>
      </c>
      <c r="CL1034" t="s">
        <v>291</v>
      </c>
      <c r="CM1034" t="s">
        <v>291</v>
      </c>
      <c r="CN1034" t="s">
        <v>2156</v>
      </c>
      <c r="CO1034" s="1">
        <v>43069</v>
      </c>
      <c r="CP1034" s="1">
        <v>43595</v>
      </c>
    </row>
    <row r="1035" spans="1:94" x14ac:dyDescent="0.25">
      <c r="A1035" s="4" t="s">
        <v>3393</v>
      </c>
      <c r="B1035" t="str">
        <f xml:space="preserve"> "" &amp; 706411058806</f>
        <v>706411058806</v>
      </c>
      <c r="C1035" t="s">
        <v>2818</v>
      </c>
      <c r="D1035" t="s">
        <v>3394</v>
      </c>
      <c r="E1035" t="s">
        <v>3395</v>
      </c>
      <c r="F1035" t="s">
        <v>2113</v>
      </c>
      <c r="G1035">
        <v>1</v>
      </c>
      <c r="H1035">
        <v>1</v>
      </c>
      <c r="I1035" t="s">
        <v>97</v>
      </c>
      <c r="J1035" s="32">
        <v>269.95</v>
      </c>
      <c r="K1035" s="32">
        <v>809.85</v>
      </c>
      <c r="L1035">
        <v>0</v>
      </c>
      <c r="N1035">
        <v>0</v>
      </c>
      <c r="Q1035" t="s">
        <v>291</v>
      </c>
      <c r="R1035" s="32">
        <v>539.95000000000005</v>
      </c>
      <c r="S1035">
        <v>15.25</v>
      </c>
      <c r="T1035">
        <v>60</v>
      </c>
      <c r="U1035">
        <v>60</v>
      </c>
      <c r="W1035">
        <v>13.54</v>
      </c>
      <c r="X1035">
        <v>1</v>
      </c>
      <c r="Y1035">
        <v>10.130000000000001</v>
      </c>
      <c r="Z1035">
        <v>29.75</v>
      </c>
      <c r="AA1035">
        <v>8.5</v>
      </c>
      <c r="AB1035">
        <v>1.482</v>
      </c>
      <c r="AC1035">
        <v>15.43</v>
      </c>
      <c r="AE1035">
        <v>1</v>
      </c>
      <c r="AF1035" t="s">
        <v>2141</v>
      </c>
      <c r="AG1035">
        <v>20</v>
      </c>
      <c r="AK1035" t="s">
        <v>291</v>
      </c>
      <c r="AM1035" t="s">
        <v>98</v>
      </c>
      <c r="AN1035" t="s">
        <v>291</v>
      </c>
      <c r="AO1035" t="s">
        <v>98</v>
      </c>
      <c r="AP1035" t="s">
        <v>99</v>
      </c>
      <c r="AQ1035" t="s">
        <v>102</v>
      </c>
      <c r="AV1035" t="s">
        <v>98</v>
      </c>
      <c r="AX1035" t="s">
        <v>2129</v>
      </c>
      <c r="AZ1035" t="s">
        <v>535</v>
      </c>
      <c r="BB1035" t="s">
        <v>106</v>
      </c>
      <c r="BC1035" t="s">
        <v>302</v>
      </c>
      <c r="BF1035" t="s">
        <v>3396</v>
      </c>
      <c r="BG1035" t="s">
        <v>98</v>
      </c>
      <c r="BH1035" t="s">
        <v>98</v>
      </c>
      <c r="BI1035" t="s">
        <v>98</v>
      </c>
      <c r="BK1035" t="s">
        <v>138</v>
      </c>
      <c r="BU1035">
        <v>6</v>
      </c>
      <c r="BW1035">
        <v>0.75</v>
      </c>
      <c r="BX1035" t="s">
        <v>3212</v>
      </c>
      <c r="BY1035" t="s">
        <v>291</v>
      </c>
      <c r="BZ1035" t="s">
        <v>441</v>
      </c>
      <c r="CA1035" t="s">
        <v>3397</v>
      </c>
      <c r="CB1035" t="s">
        <v>2129</v>
      </c>
      <c r="CC1035">
        <v>139</v>
      </c>
      <c r="CD1035">
        <v>0.56000000000000005</v>
      </c>
      <c r="CE1035">
        <v>45.55</v>
      </c>
      <c r="CF1035">
        <v>6012</v>
      </c>
      <c r="CG1035">
        <v>3000</v>
      </c>
      <c r="CH1035">
        <v>93</v>
      </c>
      <c r="CI1035">
        <v>1645.8</v>
      </c>
      <c r="CJ1035">
        <v>716.2</v>
      </c>
      <c r="CK1035">
        <v>30000</v>
      </c>
      <c r="CL1035" t="s">
        <v>291</v>
      </c>
      <c r="CM1035" t="s">
        <v>291</v>
      </c>
      <c r="CN1035" t="s">
        <v>2307</v>
      </c>
      <c r="CO1035" s="1">
        <v>43068</v>
      </c>
      <c r="CP1035" s="1">
        <v>43607</v>
      </c>
    </row>
    <row r="1036" spans="1:94" x14ac:dyDescent="0.25">
      <c r="A1036" s="4" t="s">
        <v>3398</v>
      </c>
      <c r="B1036" t="str">
        <f xml:space="preserve"> "" &amp; 706411059476</f>
        <v>706411059476</v>
      </c>
      <c r="C1036" t="s">
        <v>2818</v>
      </c>
      <c r="D1036" t="s">
        <v>3394</v>
      </c>
      <c r="E1036" t="s">
        <v>3395</v>
      </c>
      <c r="F1036" t="s">
        <v>2113</v>
      </c>
      <c r="G1036">
        <v>1</v>
      </c>
      <c r="H1036">
        <v>1</v>
      </c>
      <c r="I1036" t="s">
        <v>97</v>
      </c>
      <c r="J1036" s="32">
        <v>269.95</v>
      </c>
      <c r="K1036" s="32">
        <v>809.85</v>
      </c>
      <c r="L1036">
        <v>0</v>
      </c>
      <c r="N1036">
        <v>0</v>
      </c>
      <c r="Q1036" t="s">
        <v>291</v>
      </c>
      <c r="R1036" s="32">
        <v>539.95000000000005</v>
      </c>
      <c r="S1036">
        <v>15.25</v>
      </c>
      <c r="T1036">
        <v>60</v>
      </c>
      <c r="U1036">
        <v>60</v>
      </c>
      <c r="W1036">
        <v>13.54</v>
      </c>
      <c r="X1036">
        <v>1</v>
      </c>
      <c r="Y1036">
        <v>10.130000000000001</v>
      </c>
      <c r="Z1036">
        <v>29.75</v>
      </c>
      <c r="AA1036">
        <v>8.5</v>
      </c>
      <c r="AB1036">
        <v>1.482</v>
      </c>
      <c r="AC1036">
        <v>15.43</v>
      </c>
      <c r="AE1036">
        <v>1</v>
      </c>
      <c r="AF1036" t="s">
        <v>2141</v>
      </c>
      <c r="AG1036">
        <v>20</v>
      </c>
      <c r="AK1036" t="s">
        <v>291</v>
      </c>
      <c r="AM1036" t="s">
        <v>98</v>
      </c>
      <c r="AN1036" t="s">
        <v>291</v>
      </c>
      <c r="AO1036" t="s">
        <v>98</v>
      </c>
      <c r="AP1036" t="s">
        <v>99</v>
      </c>
      <c r="AQ1036" t="s">
        <v>102</v>
      </c>
      <c r="AV1036" t="s">
        <v>98</v>
      </c>
      <c r="AX1036" t="s">
        <v>163</v>
      </c>
      <c r="AZ1036" t="s">
        <v>535</v>
      </c>
      <c r="BB1036" t="s">
        <v>106</v>
      </c>
      <c r="BC1036" t="s">
        <v>302</v>
      </c>
      <c r="BF1036" t="s">
        <v>3399</v>
      </c>
      <c r="BG1036" t="s">
        <v>98</v>
      </c>
      <c r="BH1036" t="s">
        <v>98</v>
      </c>
      <c r="BI1036" t="s">
        <v>98</v>
      </c>
      <c r="BK1036" t="s">
        <v>138</v>
      </c>
      <c r="BU1036">
        <v>6</v>
      </c>
      <c r="BW1036">
        <v>0.75</v>
      </c>
      <c r="BX1036" t="s">
        <v>3212</v>
      </c>
      <c r="BY1036" t="s">
        <v>291</v>
      </c>
      <c r="BZ1036" t="s">
        <v>3400</v>
      </c>
      <c r="CA1036" t="s">
        <v>3397</v>
      </c>
      <c r="CB1036" t="s">
        <v>163</v>
      </c>
      <c r="CC1036">
        <v>139</v>
      </c>
      <c r="CD1036">
        <v>0.56000000000000005</v>
      </c>
      <c r="CE1036">
        <v>45.55</v>
      </c>
      <c r="CF1036">
        <v>6012</v>
      </c>
      <c r="CG1036">
        <v>3000</v>
      </c>
      <c r="CH1036">
        <v>93</v>
      </c>
      <c r="CI1036">
        <v>1645.8</v>
      </c>
      <c r="CJ1036">
        <v>716.2</v>
      </c>
      <c r="CK1036">
        <v>30000</v>
      </c>
      <c r="CL1036" t="s">
        <v>291</v>
      </c>
      <c r="CM1036" t="s">
        <v>291</v>
      </c>
      <c r="CN1036" t="s">
        <v>2307</v>
      </c>
      <c r="CO1036" s="1">
        <v>43126</v>
      </c>
      <c r="CP1036" s="1">
        <v>43607</v>
      </c>
    </row>
    <row r="1037" spans="1:94" x14ac:dyDescent="0.25">
      <c r="A1037" s="4" t="s">
        <v>3401</v>
      </c>
      <c r="B1037" t="str">
        <f xml:space="preserve"> "" &amp; 706411058790</f>
        <v>706411058790</v>
      </c>
      <c r="C1037" t="s">
        <v>2818</v>
      </c>
      <c r="D1037" t="s">
        <v>3394</v>
      </c>
      <c r="E1037" t="s">
        <v>3395</v>
      </c>
      <c r="F1037" t="s">
        <v>2113</v>
      </c>
      <c r="G1037">
        <v>1</v>
      </c>
      <c r="H1037">
        <v>1</v>
      </c>
      <c r="I1037" t="s">
        <v>97</v>
      </c>
      <c r="J1037" s="32">
        <v>269.95</v>
      </c>
      <c r="K1037" s="32">
        <v>809.85</v>
      </c>
      <c r="L1037">
        <v>0</v>
      </c>
      <c r="N1037">
        <v>0</v>
      </c>
      <c r="Q1037" t="s">
        <v>291</v>
      </c>
      <c r="R1037" s="32">
        <v>539.95000000000005</v>
      </c>
      <c r="S1037">
        <v>15.25</v>
      </c>
      <c r="T1037">
        <v>60</v>
      </c>
      <c r="U1037">
        <v>60</v>
      </c>
      <c r="W1037">
        <v>13.54</v>
      </c>
      <c r="X1037">
        <v>1</v>
      </c>
      <c r="Y1037">
        <v>10.130000000000001</v>
      </c>
      <c r="Z1037">
        <v>29.75</v>
      </c>
      <c r="AA1037">
        <v>8.5</v>
      </c>
      <c r="AB1037">
        <v>1.482</v>
      </c>
      <c r="AC1037">
        <v>15.43</v>
      </c>
      <c r="AE1037">
        <v>1</v>
      </c>
      <c r="AF1037" t="s">
        <v>2141</v>
      </c>
      <c r="AG1037">
        <v>20</v>
      </c>
      <c r="AK1037" t="s">
        <v>291</v>
      </c>
      <c r="AM1037" t="s">
        <v>98</v>
      </c>
      <c r="AN1037" t="s">
        <v>291</v>
      </c>
      <c r="AO1037" t="s">
        <v>98</v>
      </c>
      <c r="AP1037" t="s">
        <v>99</v>
      </c>
      <c r="AQ1037" t="s">
        <v>102</v>
      </c>
      <c r="AV1037" t="s">
        <v>98</v>
      </c>
      <c r="AX1037" t="s">
        <v>3016</v>
      </c>
      <c r="AZ1037" t="s">
        <v>535</v>
      </c>
      <c r="BB1037" t="s">
        <v>106</v>
      </c>
      <c r="BC1037" t="s">
        <v>2969</v>
      </c>
      <c r="BF1037" t="s">
        <v>3402</v>
      </c>
      <c r="BG1037" t="s">
        <v>98</v>
      </c>
      <c r="BH1037" t="s">
        <v>98</v>
      </c>
      <c r="BI1037" t="s">
        <v>98</v>
      </c>
      <c r="BK1037" t="s">
        <v>138</v>
      </c>
      <c r="BU1037">
        <v>6</v>
      </c>
      <c r="BW1037">
        <v>0.75</v>
      </c>
      <c r="BX1037" t="s">
        <v>3212</v>
      </c>
      <c r="BY1037" t="s">
        <v>291</v>
      </c>
      <c r="BZ1037" t="s">
        <v>2159</v>
      </c>
      <c r="CA1037" t="s">
        <v>3397</v>
      </c>
      <c r="CB1037" t="s">
        <v>3016</v>
      </c>
      <c r="CC1037">
        <v>139</v>
      </c>
      <c r="CD1037">
        <v>0.56000000000000005</v>
      </c>
      <c r="CE1037">
        <v>45.55</v>
      </c>
      <c r="CF1037">
        <v>6012</v>
      </c>
      <c r="CG1037">
        <v>3000</v>
      </c>
      <c r="CH1037">
        <v>93</v>
      </c>
      <c r="CI1037">
        <v>1645.8</v>
      </c>
      <c r="CJ1037">
        <v>716.2</v>
      </c>
      <c r="CK1037">
        <v>30000</v>
      </c>
      <c r="CL1037" t="s">
        <v>291</v>
      </c>
      <c r="CM1037" t="s">
        <v>291</v>
      </c>
      <c r="CN1037" t="s">
        <v>2307</v>
      </c>
      <c r="CO1037" s="1">
        <v>43068</v>
      </c>
      <c r="CP1037" s="1">
        <v>43607</v>
      </c>
    </row>
    <row r="1038" spans="1:94" x14ac:dyDescent="0.25">
      <c r="A1038" s="4" t="s">
        <v>3403</v>
      </c>
      <c r="B1038" t="str">
        <f xml:space="preserve"> "" &amp; 706411059131</f>
        <v>706411059131</v>
      </c>
      <c r="C1038" t="s">
        <v>2818</v>
      </c>
      <c r="D1038" t="s">
        <v>3394</v>
      </c>
      <c r="E1038" t="s">
        <v>3395</v>
      </c>
      <c r="F1038" t="s">
        <v>2113</v>
      </c>
      <c r="G1038">
        <v>1</v>
      </c>
      <c r="H1038">
        <v>1</v>
      </c>
      <c r="I1038" t="s">
        <v>97</v>
      </c>
      <c r="J1038" s="32">
        <v>269.95</v>
      </c>
      <c r="K1038" s="32">
        <v>809.85</v>
      </c>
      <c r="L1038">
        <v>0</v>
      </c>
      <c r="N1038">
        <v>0</v>
      </c>
      <c r="Q1038" t="s">
        <v>291</v>
      </c>
      <c r="R1038" s="32">
        <v>539.95000000000005</v>
      </c>
      <c r="S1038">
        <v>15</v>
      </c>
      <c r="T1038">
        <v>60</v>
      </c>
      <c r="U1038">
        <v>60</v>
      </c>
      <c r="W1038">
        <v>13.54</v>
      </c>
      <c r="X1038">
        <v>1</v>
      </c>
      <c r="Y1038">
        <v>10.130000000000001</v>
      </c>
      <c r="Z1038">
        <v>29.75</v>
      </c>
      <c r="AA1038">
        <v>8.5</v>
      </c>
      <c r="AB1038">
        <v>1.482</v>
      </c>
      <c r="AC1038">
        <v>15.43</v>
      </c>
      <c r="AE1038">
        <v>1</v>
      </c>
      <c r="AF1038" t="s">
        <v>2141</v>
      </c>
      <c r="AG1038">
        <v>20</v>
      </c>
      <c r="AK1038" t="s">
        <v>291</v>
      </c>
      <c r="AM1038" t="s">
        <v>98</v>
      </c>
      <c r="AN1038" t="s">
        <v>291</v>
      </c>
      <c r="AO1038" t="s">
        <v>98</v>
      </c>
      <c r="AP1038" t="s">
        <v>99</v>
      </c>
      <c r="AQ1038" t="s">
        <v>102</v>
      </c>
      <c r="AV1038" t="s">
        <v>98</v>
      </c>
      <c r="AX1038" t="s">
        <v>3404</v>
      </c>
      <c r="AZ1038" t="s">
        <v>535</v>
      </c>
      <c r="BB1038" t="s">
        <v>106</v>
      </c>
      <c r="BC1038" t="s">
        <v>2969</v>
      </c>
      <c r="BF1038" t="s">
        <v>3405</v>
      </c>
      <c r="BG1038" t="s">
        <v>98</v>
      </c>
      <c r="BH1038" t="s">
        <v>98</v>
      </c>
      <c r="BI1038" t="s">
        <v>98</v>
      </c>
      <c r="BK1038" t="s">
        <v>138</v>
      </c>
      <c r="BU1038">
        <v>6</v>
      </c>
      <c r="BW1038">
        <v>0.75</v>
      </c>
      <c r="BX1038" t="s">
        <v>3212</v>
      </c>
      <c r="BY1038" t="s">
        <v>291</v>
      </c>
      <c r="BZ1038" t="s">
        <v>2977</v>
      </c>
      <c r="CA1038" t="s">
        <v>3397</v>
      </c>
      <c r="CB1038" t="s">
        <v>3404</v>
      </c>
      <c r="CC1038">
        <v>139</v>
      </c>
      <c r="CD1038">
        <v>0.56000000000000005</v>
      </c>
      <c r="CE1038">
        <v>45.55</v>
      </c>
      <c r="CF1038">
        <v>6012</v>
      </c>
      <c r="CG1038">
        <v>3000</v>
      </c>
      <c r="CH1038">
        <v>93</v>
      </c>
      <c r="CI1038">
        <v>1645.8</v>
      </c>
      <c r="CJ1038">
        <v>716.2</v>
      </c>
      <c r="CK1038">
        <v>30000</v>
      </c>
      <c r="CL1038" t="s">
        <v>291</v>
      </c>
      <c r="CM1038" t="s">
        <v>291</v>
      </c>
      <c r="CN1038" t="s">
        <v>2307</v>
      </c>
      <c r="CO1038" s="1">
        <v>43068</v>
      </c>
      <c r="CP1038" s="1">
        <v>43607</v>
      </c>
    </row>
    <row r="1039" spans="1:94" x14ac:dyDescent="0.25">
      <c r="A1039" s="4" t="s">
        <v>3406</v>
      </c>
      <c r="B1039" t="str">
        <f xml:space="preserve"> "" &amp; 706411044304</f>
        <v>706411044304</v>
      </c>
      <c r="C1039" t="s">
        <v>2178</v>
      </c>
      <c r="D1039" t="s">
        <v>3407</v>
      </c>
      <c r="E1039" t="s">
        <v>3408</v>
      </c>
      <c r="F1039" t="s">
        <v>2113</v>
      </c>
      <c r="G1039">
        <v>1</v>
      </c>
      <c r="H1039">
        <v>1</v>
      </c>
      <c r="I1039" t="s">
        <v>97</v>
      </c>
      <c r="J1039" s="32">
        <v>62.95</v>
      </c>
      <c r="K1039" s="32">
        <v>188.85</v>
      </c>
      <c r="L1039">
        <v>0</v>
      </c>
      <c r="N1039">
        <v>0</v>
      </c>
      <c r="Q1039" t="s">
        <v>291</v>
      </c>
      <c r="R1039" s="32">
        <v>125.95</v>
      </c>
      <c r="S1039">
        <v>11</v>
      </c>
      <c r="T1039">
        <v>52</v>
      </c>
      <c r="U1039">
        <v>52</v>
      </c>
      <c r="W1039">
        <v>12.17</v>
      </c>
      <c r="X1039">
        <v>1</v>
      </c>
      <c r="Y1039">
        <v>9.6300000000000008</v>
      </c>
      <c r="Z1039">
        <v>24.75</v>
      </c>
      <c r="AA1039">
        <v>10.130000000000001</v>
      </c>
      <c r="AB1039">
        <v>1.397</v>
      </c>
      <c r="AC1039">
        <v>14.79</v>
      </c>
      <c r="AK1039" t="s">
        <v>98</v>
      </c>
      <c r="AM1039" t="s">
        <v>98</v>
      </c>
      <c r="AN1039" t="s">
        <v>291</v>
      </c>
      <c r="AO1039" t="s">
        <v>98</v>
      </c>
      <c r="AP1039" t="s">
        <v>99</v>
      </c>
      <c r="AQ1039" t="s">
        <v>102</v>
      </c>
      <c r="AV1039" t="s">
        <v>98</v>
      </c>
      <c r="AX1039" t="s">
        <v>146</v>
      </c>
      <c r="AZ1039" t="s">
        <v>2180</v>
      </c>
      <c r="BC1039" t="s">
        <v>485</v>
      </c>
      <c r="BF1039" t="s">
        <v>3409</v>
      </c>
      <c r="BG1039" t="s">
        <v>98</v>
      </c>
      <c r="BH1039" t="s">
        <v>98</v>
      </c>
      <c r="BI1039" t="s">
        <v>98</v>
      </c>
      <c r="BK1039" t="s">
        <v>138</v>
      </c>
      <c r="BU1039">
        <v>6</v>
      </c>
      <c r="BW1039">
        <v>0.75</v>
      </c>
      <c r="BX1039">
        <v>20</v>
      </c>
      <c r="BZ1039" t="s">
        <v>146</v>
      </c>
      <c r="CB1039" t="s">
        <v>146</v>
      </c>
      <c r="CC1039">
        <v>201</v>
      </c>
      <c r="CD1039">
        <v>0.45900000000000002</v>
      </c>
      <c r="CE1039">
        <v>55</v>
      </c>
      <c r="CF1039">
        <v>6304</v>
      </c>
      <c r="CL1039" t="s">
        <v>98</v>
      </c>
      <c r="CM1039" t="s">
        <v>291</v>
      </c>
      <c r="CO1039" s="1">
        <v>41351</v>
      </c>
      <c r="CP1039" s="1">
        <v>43595</v>
      </c>
    </row>
    <row r="1040" spans="1:94" x14ac:dyDescent="0.25">
      <c r="A1040" s="4" t="s">
        <v>3410</v>
      </c>
      <c r="B1040" t="str">
        <f xml:space="preserve"> "" &amp; 706411044298</f>
        <v>706411044298</v>
      </c>
      <c r="C1040" t="s">
        <v>2178</v>
      </c>
      <c r="D1040" t="s">
        <v>3407</v>
      </c>
      <c r="E1040" t="s">
        <v>3408</v>
      </c>
      <c r="F1040" t="s">
        <v>2113</v>
      </c>
      <c r="G1040">
        <v>1</v>
      </c>
      <c r="H1040">
        <v>1</v>
      </c>
      <c r="I1040" t="s">
        <v>97</v>
      </c>
      <c r="J1040" s="32">
        <v>62.95</v>
      </c>
      <c r="K1040" s="32">
        <v>188.85</v>
      </c>
      <c r="L1040">
        <v>0</v>
      </c>
      <c r="N1040">
        <v>0</v>
      </c>
      <c r="Q1040" t="s">
        <v>291</v>
      </c>
      <c r="R1040" s="32">
        <v>125.95</v>
      </c>
      <c r="S1040">
        <v>11</v>
      </c>
      <c r="T1040">
        <v>52</v>
      </c>
      <c r="U1040">
        <v>52</v>
      </c>
      <c r="W1040">
        <v>12.17</v>
      </c>
      <c r="X1040">
        <v>1</v>
      </c>
      <c r="Y1040">
        <v>9.6300000000000008</v>
      </c>
      <c r="Z1040">
        <v>24.75</v>
      </c>
      <c r="AA1040">
        <v>10.130000000000001</v>
      </c>
      <c r="AB1040">
        <v>1.397</v>
      </c>
      <c r="AC1040">
        <v>14.79</v>
      </c>
      <c r="AK1040" t="s">
        <v>98</v>
      </c>
      <c r="AM1040" t="s">
        <v>98</v>
      </c>
      <c r="AN1040" t="s">
        <v>291</v>
      </c>
      <c r="AO1040" t="s">
        <v>98</v>
      </c>
      <c r="AP1040" t="s">
        <v>99</v>
      </c>
      <c r="AQ1040" t="s">
        <v>102</v>
      </c>
      <c r="AV1040" t="s">
        <v>98</v>
      </c>
      <c r="AX1040" t="s">
        <v>265</v>
      </c>
      <c r="AZ1040" t="s">
        <v>2180</v>
      </c>
      <c r="BC1040" t="s">
        <v>485</v>
      </c>
      <c r="BF1040" t="s">
        <v>3411</v>
      </c>
      <c r="BG1040" t="s">
        <v>98</v>
      </c>
      <c r="BH1040" t="s">
        <v>98</v>
      </c>
      <c r="BI1040" t="s">
        <v>98</v>
      </c>
      <c r="BK1040" t="s">
        <v>138</v>
      </c>
      <c r="BU1040">
        <v>6</v>
      </c>
      <c r="BW1040">
        <v>0.75</v>
      </c>
      <c r="BX1040">
        <v>20</v>
      </c>
      <c r="BZ1040" t="s">
        <v>265</v>
      </c>
      <c r="CB1040" t="s">
        <v>265</v>
      </c>
      <c r="CC1040">
        <v>201</v>
      </c>
      <c r="CD1040">
        <v>0.45900000000000002</v>
      </c>
      <c r="CE1040">
        <v>55</v>
      </c>
      <c r="CF1040">
        <v>6304</v>
      </c>
      <c r="CL1040" t="s">
        <v>98</v>
      </c>
      <c r="CM1040" t="s">
        <v>291</v>
      </c>
      <c r="CO1040" s="1">
        <v>11400</v>
      </c>
      <c r="CP1040" s="1">
        <v>43595</v>
      </c>
    </row>
    <row r="1041" spans="1:94" x14ac:dyDescent="0.25">
      <c r="A1041" s="4" t="s">
        <v>3412</v>
      </c>
      <c r="B1041" t="str">
        <f xml:space="preserve"> "" &amp; 706411044311</f>
        <v>706411044311</v>
      </c>
      <c r="C1041" t="s">
        <v>2178</v>
      </c>
      <c r="D1041" t="s">
        <v>3407</v>
      </c>
      <c r="E1041" t="s">
        <v>3408</v>
      </c>
      <c r="F1041" t="s">
        <v>2113</v>
      </c>
      <c r="G1041">
        <v>1</v>
      </c>
      <c r="H1041">
        <v>1</v>
      </c>
      <c r="I1041" t="s">
        <v>97</v>
      </c>
      <c r="J1041" s="32">
        <v>62.95</v>
      </c>
      <c r="K1041" s="32">
        <v>188.85</v>
      </c>
      <c r="L1041">
        <v>0</v>
      </c>
      <c r="N1041">
        <v>0</v>
      </c>
      <c r="Q1041" t="s">
        <v>291</v>
      </c>
      <c r="R1041" s="32">
        <v>125.95</v>
      </c>
      <c r="S1041">
        <v>11</v>
      </c>
      <c r="T1041">
        <v>52</v>
      </c>
      <c r="U1041">
        <v>52</v>
      </c>
      <c r="W1041">
        <v>12.17</v>
      </c>
      <c r="X1041">
        <v>1</v>
      </c>
      <c r="Y1041">
        <v>9.6300000000000008</v>
      </c>
      <c r="Z1041">
        <v>24.75</v>
      </c>
      <c r="AA1041">
        <v>10.130000000000001</v>
      </c>
      <c r="AB1041">
        <v>1.397</v>
      </c>
      <c r="AC1041">
        <v>14.79</v>
      </c>
      <c r="AK1041" t="s">
        <v>98</v>
      </c>
      <c r="AM1041" t="s">
        <v>98</v>
      </c>
      <c r="AN1041" t="s">
        <v>291</v>
      </c>
      <c r="AO1041" t="s">
        <v>98</v>
      </c>
      <c r="AP1041" t="s">
        <v>99</v>
      </c>
      <c r="AQ1041" t="s">
        <v>102</v>
      </c>
      <c r="AV1041" t="s">
        <v>98</v>
      </c>
      <c r="AX1041" t="s">
        <v>441</v>
      </c>
      <c r="AZ1041" t="s">
        <v>2180</v>
      </c>
      <c r="BC1041" t="s">
        <v>485</v>
      </c>
      <c r="BF1041" t="s">
        <v>3413</v>
      </c>
      <c r="BG1041" t="s">
        <v>98</v>
      </c>
      <c r="BH1041" t="s">
        <v>98</v>
      </c>
      <c r="BI1041" t="s">
        <v>98</v>
      </c>
      <c r="BK1041" t="s">
        <v>138</v>
      </c>
      <c r="BU1041">
        <v>6</v>
      </c>
      <c r="BW1041">
        <v>0.75</v>
      </c>
      <c r="BX1041">
        <v>20</v>
      </c>
      <c r="BZ1041" t="s">
        <v>441</v>
      </c>
      <c r="CB1041" t="s">
        <v>441</v>
      </c>
      <c r="CC1041">
        <v>201</v>
      </c>
      <c r="CD1041">
        <v>0.45900000000000002</v>
      </c>
      <c r="CE1041">
        <v>55</v>
      </c>
      <c r="CF1041">
        <v>6304</v>
      </c>
      <c r="CL1041" t="s">
        <v>98</v>
      </c>
      <c r="CM1041" t="s">
        <v>291</v>
      </c>
      <c r="CO1041" s="1">
        <v>41351</v>
      </c>
      <c r="CP1041" s="1">
        <v>43595</v>
      </c>
    </row>
    <row r="1042" spans="1:94" x14ac:dyDescent="0.25">
      <c r="A1042" s="4" t="s">
        <v>3414</v>
      </c>
      <c r="B1042" t="str">
        <f xml:space="preserve"> "" &amp; 706411044281</f>
        <v>706411044281</v>
      </c>
      <c r="C1042" t="s">
        <v>2178</v>
      </c>
      <c r="D1042" t="s">
        <v>3407</v>
      </c>
      <c r="E1042" t="s">
        <v>3408</v>
      </c>
      <c r="F1042" t="s">
        <v>2113</v>
      </c>
      <c r="G1042">
        <v>1</v>
      </c>
      <c r="H1042">
        <v>1</v>
      </c>
      <c r="I1042" t="s">
        <v>97</v>
      </c>
      <c r="J1042" s="32">
        <v>62.95</v>
      </c>
      <c r="K1042" s="32">
        <v>188.85</v>
      </c>
      <c r="L1042">
        <v>0</v>
      </c>
      <c r="N1042">
        <v>0</v>
      </c>
      <c r="Q1042" t="s">
        <v>291</v>
      </c>
      <c r="R1042" s="32">
        <v>125.95</v>
      </c>
      <c r="S1042">
        <v>11</v>
      </c>
      <c r="T1042">
        <v>52</v>
      </c>
      <c r="U1042">
        <v>52</v>
      </c>
      <c r="W1042">
        <v>12.17</v>
      </c>
      <c r="X1042">
        <v>1</v>
      </c>
      <c r="Y1042">
        <v>9.6300000000000008</v>
      </c>
      <c r="Z1042">
        <v>24.75</v>
      </c>
      <c r="AA1042">
        <v>10.130000000000001</v>
      </c>
      <c r="AB1042">
        <v>1.397</v>
      </c>
      <c r="AC1042">
        <v>14.79</v>
      </c>
      <c r="AK1042" t="s">
        <v>98</v>
      </c>
      <c r="AM1042" t="s">
        <v>98</v>
      </c>
      <c r="AN1042" t="s">
        <v>291</v>
      </c>
      <c r="AO1042" t="s">
        <v>98</v>
      </c>
      <c r="AP1042" t="s">
        <v>99</v>
      </c>
      <c r="AQ1042" t="s">
        <v>102</v>
      </c>
      <c r="AV1042" t="s">
        <v>98</v>
      </c>
      <c r="AX1042" t="s">
        <v>302</v>
      </c>
      <c r="AZ1042" t="s">
        <v>2180</v>
      </c>
      <c r="BC1042" t="s">
        <v>485</v>
      </c>
      <c r="BF1042" t="s">
        <v>3415</v>
      </c>
      <c r="BG1042" t="s">
        <v>98</v>
      </c>
      <c r="BH1042" t="s">
        <v>98</v>
      </c>
      <c r="BI1042" t="s">
        <v>98</v>
      </c>
      <c r="BK1042" t="s">
        <v>138</v>
      </c>
      <c r="BU1042">
        <v>6</v>
      </c>
      <c r="BW1042">
        <v>0.75</v>
      </c>
      <c r="BX1042">
        <v>20</v>
      </c>
      <c r="BZ1042" t="s">
        <v>302</v>
      </c>
      <c r="CB1042" t="s">
        <v>302</v>
      </c>
      <c r="CC1042">
        <v>201</v>
      </c>
      <c r="CD1042">
        <v>0.45900000000000002</v>
      </c>
      <c r="CE1042">
        <v>55</v>
      </c>
      <c r="CF1042">
        <v>6304</v>
      </c>
      <c r="CL1042" t="s">
        <v>98</v>
      </c>
      <c r="CM1042" t="s">
        <v>291</v>
      </c>
      <c r="CO1042" s="1">
        <v>41351</v>
      </c>
      <c r="CP1042" s="1">
        <v>43595</v>
      </c>
    </row>
    <row r="1043" spans="1:94" x14ac:dyDescent="0.25">
      <c r="A1043" s="4" t="s">
        <v>3416</v>
      </c>
      <c r="B1043" t="str">
        <f xml:space="preserve"> "" &amp; 706411054310</f>
        <v>706411054310</v>
      </c>
      <c r="C1043" t="s">
        <v>2818</v>
      </c>
      <c r="D1043" t="s">
        <v>3417</v>
      </c>
      <c r="E1043" t="s">
        <v>3418</v>
      </c>
      <c r="F1043" t="s">
        <v>2113</v>
      </c>
      <c r="G1043">
        <v>1</v>
      </c>
      <c r="H1043">
        <v>1</v>
      </c>
      <c r="I1043" t="s">
        <v>97</v>
      </c>
      <c r="J1043" s="32">
        <v>199.95</v>
      </c>
      <c r="K1043" s="32">
        <v>599.85</v>
      </c>
      <c r="L1043">
        <v>0</v>
      </c>
      <c r="N1043">
        <v>0</v>
      </c>
      <c r="Q1043" t="s">
        <v>291</v>
      </c>
      <c r="R1043" s="32">
        <v>399.95</v>
      </c>
      <c r="S1043">
        <v>13.75</v>
      </c>
      <c r="T1043">
        <v>60</v>
      </c>
      <c r="U1043">
        <v>60</v>
      </c>
      <c r="W1043">
        <v>16.53</v>
      </c>
      <c r="X1043">
        <v>1</v>
      </c>
      <c r="Y1043">
        <v>10.5</v>
      </c>
      <c r="Z1043">
        <v>33.25</v>
      </c>
      <c r="AA1043">
        <v>16.88</v>
      </c>
      <c r="AB1043">
        <v>3.41</v>
      </c>
      <c r="AC1043">
        <v>20.28</v>
      </c>
      <c r="AE1043">
        <v>1</v>
      </c>
      <c r="AF1043" t="s">
        <v>2141</v>
      </c>
      <c r="AG1043">
        <v>20</v>
      </c>
      <c r="AK1043" t="s">
        <v>291</v>
      </c>
      <c r="AM1043" t="s">
        <v>98</v>
      </c>
      <c r="AN1043" t="s">
        <v>291</v>
      </c>
      <c r="AO1043" t="s">
        <v>98</v>
      </c>
      <c r="AP1043" t="s">
        <v>99</v>
      </c>
      <c r="AQ1043" t="s">
        <v>102</v>
      </c>
      <c r="AV1043" t="s">
        <v>98</v>
      </c>
      <c r="AX1043" t="s">
        <v>703</v>
      </c>
      <c r="AZ1043" t="s">
        <v>2149</v>
      </c>
      <c r="BB1043" t="s">
        <v>2244</v>
      </c>
      <c r="BC1043" t="s">
        <v>3419</v>
      </c>
      <c r="BF1043" t="s">
        <v>3420</v>
      </c>
      <c r="BG1043" t="s">
        <v>98</v>
      </c>
      <c r="BH1043" t="s">
        <v>98</v>
      </c>
      <c r="BI1043" t="s">
        <v>98</v>
      </c>
      <c r="BK1043" t="s">
        <v>138</v>
      </c>
      <c r="BU1043">
        <v>6</v>
      </c>
      <c r="BW1043">
        <v>0.75</v>
      </c>
      <c r="BX1043" t="s">
        <v>3212</v>
      </c>
      <c r="BY1043" t="s">
        <v>291</v>
      </c>
      <c r="BZ1043" t="s">
        <v>703</v>
      </c>
      <c r="CA1043" t="s">
        <v>3421</v>
      </c>
      <c r="CB1043" t="s">
        <v>703</v>
      </c>
      <c r="CC1043">
        <v>137</v>
      </c>
      <c r="CD1043">
        <v>0.745</v>
      </c>
      <c r="CE1043">
        <v>46.93</v>
      </c>
      <c r="CF1043">
        <v>4198.58</v>
      </c>
      <c r="CG1043">
        <v>3000</v>
      </c>
      <c r="CH1043">
        <v>95</v>
      </c>
      <c r="CI1043">
        <v>1561.7</v>
      </c>
      <c r="CJ1043">
        <v>1180.5</v>
      </c>
      <c r="CK1043">
        <v>30000</v>
      </c>
      <c r="CL1043" t="s">
        <v>291</v>
      </c>
      <c r="CM1043" t="s">
        <v>291</v>
      </c>
      <c r="CN1043" t="s">
        <v>2228</v>
      </c>
      <c r="CO1043" s="1">
        <v>42492</v>
      </c>
      <c r="CP1043" s="1">
        <v>43607</v>
      </c>
    </row>
    <row r="1044" spans="1:94" x14ac:dyDescent="0.25">
      <c r="A1044" s="4" t="s">
        <v>3422</v>
      </c>
      <c r="B1044" t="str">
        <f xml:space="preserve"> "" &amp; 706411054327</f>
        <v>706411054327</v>
      </c>
      <c r="C1044" t="s">
        <v>2818</v>
      </c>
      <c r="D1044" t="s">
        <v>3417</v>
      </c>
      <c r="E1044" t="s">
        <v>3418</v>
      </c>
      <c r="F1044" t="s">
        <v>2113</v>
      </c>
      <c r="G1044">
        <v>1</v>
      </c>
      <c r="H1044">
        <v>1</v>
      </c>
      <c r="I1044" t="s">
        <v>97</v>
      </c>
      <c r="J1044" s="32">
        <v>199.95</v>
      </c>
      <c r="K1044" s="32">
        <v>599.85</v>
      </c>
      <c r="L1044">
        <v>0</v>
      </c>
      <c r="N1044">
        <v>0</v>
      </c>
      <c r="Q1044" t="s">
        <v>291</v>
      </c>
      <c r="R1044" s="32">
        <v>399.95</v>
      </c>
      <c r="S1044">
        <v>13.75</v>
      </c>
      <c r="T1044">
        <v>60</v>
      </c>
      <c r="U1044">
        <v>60</v>
      </c>
      <c r="W1044">
        <v>16.53</v>
      </c>
      <c r="X1044">
        <v>1</v>
      </c>
      <c r="Y1044">
        <v>10.5</v>
      </c>
      <c r="Z1044">
        <v>33.25</v>
      </c>
      <c r="AA1044">
        <v>16.88</v>
      </c>
      <c r="AB1044">
        <v>3.41</v>
      </c>
      <c r="AC1044">
        <v>20.28</v>
      </c>
      <c r="AE1044">
        <v>1</v>
      </c>
      <c r="AF1044" t="s">
        <v>2141</v>
      </c>
      <c r="AG1044">
        <v>20</v>
      </c>
      <c r="AK1044" t="s">
        <v>291</v>
      </c>
      <c r="AM1044" t="s">
        <v>98</v>
      </c>
      <c r="AN1044" t="s">
        <v>291</v>
      </c>
      <c r="AO1044" t="s">
        <v>98</v>
      </c>
      <c r="AP1044" t="s">
        <v>99</v>
      </c>
      <c r="AQ1044" t="s">
        <v>102</v>
      </c>
      <c r="AV1044" t="s">
        <v>98</v>
      </c>
      <c r="AX1044" t="s">
        <v>441</v>
      </c>
      <c r="AZ1044" t="s">
        <v>2149</v>
      </c>
      <c r="BB1044" t="s">
        <v>2244</v>
      </c>
      <c r="BC1044" t="s">
        <v>3419</v>
      </c>
      <c r="BF1044" t="s">
        <v>3423</v>
      </c>
      <c r="BG1044" t="s">
        <v>98</v>
      </c>
      <c r="BH1044" t="s">
        <v>98</v>
      </c>
      <c r="BI1044" t="s">
        <v>98</v>
      </c>
      <c r="BK1044" t="s">
        <v>138</v>
      </c>
      <c r="BU1044">
        <v>6</v>
      </c>
      <c r="BW1044">
        <v>0.75</v>
      </c>
      <c r="BX1044" t="s">
        <v>3212</v>
      </c>
      <c r="BY1044" t="s">
        <v>291</v>
      </c>
      <c r="BZ1044" t="s">
        <v>441</v>
      </c>
      <c r="CA1044" t="s">
        <v>3421</v>
      </c>
      <c r="CB1044" t="s">
        <v>441</v>
      </c>
      <c r="CC1044">
        <v>137</v>
      </c>
      <c r="CD1044">
        <v>0.745</v>
      </c>
      <c r="CE1044">
        <v>46.93</v>
      </c>
      <c r="CF1044">
        <v>4198.58</v>
      </c>
      <c r="CG1044">
        <v>3000</v>
      </c>
      <c r="CH1044">
        <v>95</v>
      </c>
      <c r="CI1044">
        <v>1561.7</v>
      </c>
      <c r="CJ1044">
        <v>1180.5</v>
      </c>
      <c r="CK1044">
        <v>30000</v>
      </c>
      <c r="CL1044" t="s">
        <v>291</v>
      </c>
      <c r="CM1044" t="s">
        <v>291</v>
      </c>
      <c r="CN1044" t="s">
        <v>2228</v>
      </c>
      <c r="CO1044" s="1">
        <v>42492</v>
      </c>
      <c r="CP1044" s="1">
        <v>43607</v>
      </c>
    </row>
    <row r="1045" spans="1:94" x14ac:dyDescent="0.25">
      <c r="A1045" s="4" t="s">
        <v>3424</v>
      </c>
      <c r="B1045" t="str">
        <f xml:space="preserve"> "" &amp; 706411054303</f>
        <v>706411054303</v>
      </c>
      <c r="C1045" t="s">
        <v>2818</v>
      </c>
      <c r="D1045" t="s">
        <v>3417</v>
      </c>
      <c r="E1045" t="s">
        <v>3418</v>
      </c>
      <c r="F1045" t="s">
        <v>2113</v>
      </c>
      <c r="G1045">
        <v>1</v>
      </c>
      <c r="H1045">
        <v>1</v>
      </c>
      <c r="I1045" t="s">
        <v>97</v>
      </c>
      <c r="J1045" s="32">
        <v>199.95</v>
      </c>
      <c r="K1045" s="32">
        <v>599.85</v>
      </c>
      <c r="L1045">
        <v>0</v>
      </c>
      <c r="N1045">
        <v>0</v>
      </c>
      <c r="Q1045" t="s">
        <v>291</v>
      </c>
      <c r="R1045" s="32">
        <v>399.95</v>
      </c>
      <c r="S1045">
        <v>13.75</v>
      </c>
      <c r="T1045">
        <v>60</v>
      </c>
      <c r="U1045">
        <v>60</v>
      </c>
      <c r="W1045">
        <v>16.53</v>
      </c>
      <c r="X1045">
        <v>1</v>
      </c>
      <c r="Y1045">
        <v>10.5</v>
      </c>
      <c r="Z1045">
        <v>33.25</v>
      </c>
      <c r="AA1045">
        <v>16.88</v>
      </c>
      <c r="AB1045">
        <v>3.41</v>
      </c>
      <c r="AC1045">
        <v>20.28</v>
      </c>
      <c r="AE1045">
        <v>1</v>
      </c>
      <c r="AF1045" t="s">
        <v>2141</v>
      </c>
      <c r="AG1045">
        <v>20</v>
      </c>
      <c r="AK1045" t="s">
        <v>291</v>
      </c>
      <c r="AM1045" t="s">
        <v>98</v>
      </c>
      <c r="AN1045" t="s">
        <v>291</v>
      </c>
      <c r="AO1045" t="s">
        <v>98</v>
      </c>
      <c r="AP1045" t="s">
        <v>99</v>
      </c>
      <c r="AQ1045" t="s">
        <v>102</v>
      </c>
      <c r="AV1045" t="s">
        <v>98</v>
      </c>
      <c r="AX1045" t="s">
        <v>302</v>
      </c>
      <c r="AZ1045" t="s">
        <v>2149</v>
      </c>
      <c r="BB1045" t="s">
        <v>3425</v>
      </c>
      <c r="BC1045" t="s">
        <v>3419</v>
      </c>
      <c r="BF1045" t="s">
        <v>3426</v>
      </c>
      <c r="BG1045" t="s">
        <v>98</v>
      </c>
      <c r="BH1045" t="s">
        <v>98</v>
      </c>
      <c r="BI1045" t="s">
        <v>98</v>
      </c>
      <c r="BK1045" t="s">
        <v>138</v>
      </c>
      <c r="BU1045">
        <v>6</v>
      </c>
      <c r="BW1045">
        <v>0.75</v>
      </c>
      <c r="BX1045" t="s">
        <v>3212</v>
      </c>
      <c r="BY1045" t="s">
        <v>291</v>
      </c>
      <c r="BZ1045" t="s">
        <v>302</v>
      </c>
      <c r="CA1045" t="s">
        <v>3427</v>
      </c>
      <c r="CB1045" t="s">
        <v>302</v>
      </c>
      <c r="CC1045">
        <v>137</v>
      </c>
      <c r="CD1045">
        <v>0.745</v>
      </c>
      <c r="CE1045">
        <v>46.93</v>
      </c>
      <c r="CF1045">
        <v>4198.58</v>
      </c>
      <c r="CG1045">
        <v>3000</v>
      </c>
      <c r="CH1045">
        <v>95</v>
      </c>
      <c r="CI1045">
        <v>1561.7</v>
      </c>
      <c r="CJ1045">
        <v>1180.5</v>
      </c>
      <c r="CK1045">
        <v>30000</v>
      </c>
      <c r="CL1045" t="s">
        <v>291</v>
      </c>
      <c r="CM1045" t="s">
        <v>291</v>
      </c>
      <c r="CN1045" t="s">
        <v>3428</v>
      </c>
      <c r="CO1045" s="1">
        <v>42403</v>
      </c>
      <c r="CP1045" s="1">
        <v>43605</v>
      </c>
    </row>
    <row r="1046" spans="1:94" x14ac:dyDescent="0.25">
      <c r="A1046" s="4" t="s">
        <v>3431</v>
      </c>
      <c r="B1046" t="str">
        <f xml:space="preserve"> "" &amp; 706411044267</f>
        <v>706411044267</v>
      </c>
      <c r="C1046" t="s">
        <v>2178</v>
      </c>
      <c r="D1046" t="s">
        <v>3432</v>
      </c>
      <c r="E1046" t="s">
        <v>3429</v>
      </c>
      <c r="F1046" t="s">
        <v>2113</v>
      </c>
      <c r="G1046">
        <v>1</v>
      </c>
      <c r="H1046">
        <v>1</v>
      </c>
      <c r="I1046" t="s">
        <v>97</v>
      </c>
      <c r="J1046" s="32">
        <v>119.95</v>
      </c>
      <c r="K1046" s="32">
        <v>359.85</v>
      </c>
      <c r="L1046">
        <v>0</v>
      </c>
      <c r="N1046">
        <v>0</v>
      </c>
      <c r="Q1046" t="s">
        <v>291</v>
      </c>
      <c r="R1046" s="32">
        <v>239.95</v>
      </c>
      <c r="S1046">
        <v>12.5</v>
      </c>
      <c r="T1046">
        <v>52</v>
      </c>
      <c r="U1046">
        <v>52</v>
      </c>
      <c r="W1046">
        <v>12.37</v>
      </c>
      <c r="X1046">
        <v>1</v>
      </c>
      <c r="Y1046">
        <v>9.6300000000000008</v>
      </c>
      <c r="Z1046">
        <v>31.38</v>
      </c>
      <c r="AA1046">
        <v>14</v>
      </c>
      <c r="AB1046">
        <v>2.448</v>
      </c>
      <c r="AC1046">
        <v>16.84</v>
      </c>
      <c r="AK1046" t="s">
        <v>98</v>
      </c>
      <c r="AM1046" t="s">
        <v>98</v>
      </c>
      <c r="AN1046" t="s">
        <v>291</v>
      </c>
      <c r="AO1046" t="s">
        <v>98</v>
      </c>
      <c r="AP1046" t="s">
        <v>99</v>
      </c>
      <c r="AQ1046" t="s">
        <v>102</v>
      </c>
      <c r="AV1046" t="s">
        <v>98</v>
      </c>
      <c r="AX1046" t="s">
        <v>703</v>
      </c>
      <c r="AZ1046" t="s">
        <v>2180</v>
      </c>
      <c r="BC1046" t="s">
        <v>485</v>
      </c>
      <c r="BF1046" t="s">
        <v>3433</v>
      </c>
      <c r="BG1046" t="s">
        <v>98</v>
      </c>
      <c r="BH1046" t="s">
        <v>98</v>
      </c>
      <c r="BI1046" t="s">
        <v>98</v>
      </c>
      <c r="BK1046" t="s">
        <v>138</v>
      </c>
      <c r="BU1046">
        <v>6</v>
      </c>
      <c r="BW1046">
        <v>0.75</v>
      </c>
      <c r="BX1046" t="s">
        <v>3212</v>
      </c>
      <c r="BY1046" t="s">
        <v>98</v>
      </c>
      <c r="BZ1046" t="s">
        <v>703</v>
      </c>
      <c r="CB1046" t="s">
        <v>703</v>
      </c>
      <c r="CC1046">
        <v>164</v>
      </c>
      <c r="CD1046">
        <v>0.56799999999999995</v>
      </c>
      <c r="CE1046">
        <v>68.13</v>
      </c>
      <c r="CF1046">
        <v>4601.03</v>
      </c>
      <c r="CL1046" t="s">
        <v>98</v>
      </c>
      <c r="CM1046" t="s">
        <v>291</v>
      </c>
      <c r="CN1046" t="s">
        <v>2228</v>
      </c>
      <c r="CO1046" s="1">
        <v>41351</v>
      </c>
      <c r="CP1046" s="1">
        <v>43595</v>
      </c>
    </row>
    <row r="1047" spans="1:94" x14ac:dyDescent="0.25">
      <c r="A1047" s="4" t="s">
        <v>3434</v>
      </c>
      <c r="B1047" t="str">
        <f xml:space="preserve"> "" &amp; 706411044274</f>
        <v>706411044274</v>
      </c>
      <c r="C1047" t="s">
        <v>2178</v>
      </c>
      <c r="D1047" t="s">
        <v>3432</v>
      </c>
      <c r="E1047" t="s">
        <v>3429</v>
      </c>
      <c r="F1047" t="s">
        <v>2113</v>
      </c>
      <c r="G1047">
        <v>1</v>
      </c>
      <c r="H1047">
        <v>1</v>
      </c>
      <c r="I1047" t="s">
        <v>97</v>
      </c>
      <c r="J1047" s="32">
        <v>119.95</v>
      </c>
      <c r="K1047" s="32">
        <v>359.85</v>
      </c>
      <c r="L1047">
        <v>0</v>
      </c>
      <c r="N1047">
        <v>0</v>
      </c>
      <c r="Q1047" t="s">
        <v>291</v>
      </c>
      <c r="R1047" s="32">
        <v>239.95</v>
      </c>
      <c r="S1047">
        <v>12.5</v>
      </c>
      <c r="T1047">
        <v>52</v>
      </c>
      <c r="U1047">
        <v>52</v>
      </c>
      <c r="W1047">
        <v>12.37</v>
      </c>
      <c r="X1047">
        <v>1</v>
      </c>
      <c r="Y1047">
        <v>9.6300000000000008</v>
      </c>
      <c r="Z1047">
        <v>31.38</v>
      </c>
      <c r="AA1047">
        <v>14</v>
      </c>
      <c r="AB1047">
        <v>2.448</v>
      </c>
      <c r="AC1047">
        <v>16.84</v>
      </c>
      <c r="AK1047" t="s">
        <v>98</v>
      </c>
      <c r="AM1047" t="s">
        <v>98</v>
      </c>
      <c r="AN1047" t="s">
        <v>291</v>
      </c>
      <c r="AO1047" t="s">
        <v>98</v>
      </c>
      <c r="AP1047" t="s">
        <v>99</v>
      </c>
      <c r="AQ1047" t="s">
        <v>102</v>
      </c>
      <c r="AV1047" t="s">
        <v>98</v>
      </c>
      <c r="AX1047" t="s">
        <v>441</v>
      </c>
      <c r="AZ1047" t="s">
        <v>2180</v>
      </c>
      <c r="BF1047" t="s">
        <v>3435</v>
      </c>
      <c r="BG1047" t="s">
        <v>98</v>
      </c>
      <c r="BH1047" t="s">
        <v>98</v>
      </c>
      <c r="BI1047" t="s">
        <v>98</v>
      </c>
      <c r="BK1047" t="s">
        <v>138</v>
      </c>
      <c r="BU1047">
        <v>6</v>
      </c>
      <c r="BW1047">
        <v>0.75</v>
      </c>
      <c r="BX1047" t="s">
        <v>3212</v>
      </c>
      <c r="BZ1047" t="s">
        <v>441</v>
      </c>
      <c r="CB1047" t="s">
        <v>441</v>
      </c>
      <c r="CC1047">
        <v>164</v>
      </c>
      <c r="CD1047">
        <v>0.56799999999999995</v>
      </c>
      <c r="CE1047">
        <v>68.13</v>
      </c>
      <c r="CF1047">
        <v>4601.03</v>
      </c>
      <c r="CL1047" t="s">
        <v>98</v>
      </c>
      <c r="CM1047" t="s">
        <v>291</v>
      </c>
      <c r="CN1047" t="s">
        <v>2228</v>
      </c>
      <c r="CO1047" s="1">
        <v>41351</v>
      </c>
      <c r="CP1047" s="1">
        <v>43595</v>
      </c>
    </row>
    <row r="1048" spans="1:94" x14ac:dyDescent="0.25">
      <c r="A1048" s="4" t="s">
        <v>3436</v>
      </c>
      <c r="B1048" t="str">
        <f xml:space="preserve"> "" &amp; 706411044250</f>
        <v>706411044250</v>
      </c>
      <c r="C1048" t="s">
        <v>2382</v>
      </c>
      <c r="D1048" t="s">
        <v>3432</v>
      </c>
      <c r="E1048" t="s">
        <v>3429</v>
      </c>
      <c r="F1048" t="s">
        <v>2113</v>
      </c>
      <c r="G1048">
        <v>1</v>
      </c>
      <c r="H1048">
        <v>1</v>
      </c>
      <c r="I1048" t="s">
        <v>97</v>
      </c>
      <c r="J1048" s="32">
        <v>119.95</v>
      </c>
      <c r="K1048" s="32">
        <v>359.85</v>
      </c>
      <c r="L1048">
        <v>0</v>
      </c>
      <c r="N1048">
        <v>0</v>
      </c>
      <c r="Q1048" t="s">
        <v>291</v>
      </c>
      <c r="R1048" s="32">
        <v>239.95</v>
      </c>
      <c r="S1048">
        <v>12.5</v>
      </c>
      <c r="T1048">
        <v>52</v>
      </c>
      <c r="U1048">
        <v>52</v>
      </c>
      <c r="W1048">
        <v>12.37</v>
      </c>
      <c r="X1048">
        <v>1</v>
      </c>
      <c r="Y1048">
        <v>9.6300000000000008</v>
      </c>
      <c r="Z1048">
        <v>31.38</v>
      </c>
      <c r="AA1048">
        <v>14</v>
      </c>
      <c r="AB1048">
        <v>2.448</v>
      </c>
      <c r="AC1048">
        <v>16.84</v>
      </c>
      <c r="AK1048" t="s">
        <v>98</v>
      </c>
      <c r="AM1048" t="s">
        <v>98</v>
      </c>
      <c r="AN1048" t="s">
        <v>291</v>
      </c>
      <c r="AO1048" t="s">
        <v>98</v>
      </c>
      <c r="AP1048" t="s">
        <v>99</v>
      </c>
      <c r="AQ1048" t="s">
        <v>102</v>
      </c>
      <c r="AV1048" t="s">
        <v>98</v>
      </c>
      <c r="AX1048" t="s">
        <v>302</v>
      </c>
      <c r="AZ1048" t="s">
        <v>2180</v>
      </c>
      <c r="BC1048" t="s">
        <v>485</v>
      </c>
      <c r="BF1048" t="s">
        <v>3437</v>
      </c>
      <c r="BG1048" t="s">
        <v>98</v>
      </c>
      <c r="BH1048" t="s">
        <v>98</v>
      </c>
      <c r="BI1048" t="s">
        <v>98</v>
      </c>
      <c r="BK1048" t="s">
        <v>138</v>
      </c>
      <c r="BU1048">
        <v>6</v>
      </c>
      <c r="BW1048">
        <v>0.75</v>
      </c>
      <c r="BX1048" t="s">
        <v>3212</v>
      </c>
      <c r="BZ1048" t="s">
        <v>302</v>
      </c>
      <c r="CA1048" t="s">
        <v>3430</v>
      </c>
      <c r="CB1048" t="s">
        <v>302</v>
      </c>
      <c r="CC1048">
        <v>164</v>
      </c>
      <c r="CD1048">
        <v>0.56799999999999995</v>
      </c>
      <c r="CE1048">
        <v>68.13</v>
      </c>
      <c r="CF1048">
        <v>4601.03</v>
      </c>
      <c r="CL1048" t="s">
        <v>98</v>
      </c>
      <c r="CM1048" t="s">
        <v>291</v>
      </c>
      <c r="CN1048" t="s">
        <v>2228</v>
      </c>
      <c r="CO1048" s="1">
        <v>41351</v>
      </c>
      <c r="CP1048" s="1">
        <v>43595</v>
      </c>
    </row>
    <row r="1049" spans="1:94" x14ac:dyDescent="0.25">
      <c r="A1049" s="4" t="s">
        <v>3438</v>
      </c>
      <c r="B1049" t="str">
        <f xml:space="preserve"> "" &amp; 706411060854</f>
        <v>706411060854</v>
      </c>
      <c r="C1049" t="s">
        <v>2140</v>
      </c>
      <c r="D1049" t="s">
        <v>3439</v>
      </c>
      <c r="E1049" t="s">
        <v>3440</v>
      </c>
      <c r="F1049" t="s">
        <v>2113</v>
      </c>
      <c r="G1049">
        <v>1</v>
      </c>
      <c r="H1049">
        <v>1</v>
      </c>
      <c r="I1049" t="s">
        <v>97</v>
      </c>
      <c r="J1049" s="32">
        <v>144.94999999999999</v>
      </c>
      <c r="K1049" s="32">
        <v>434.85</v>
      </c>
      <c r="L1049">
        <v>0</v>
      </c>
      <c r="N1049">
        <v>0</v>
      </c>
      <c r="Q1049" t="s">
        <v>291</v>
      </c>
      <c r="R1049" s="32">
        <v>279.95</v>
      </c>
      <c r="S1049">
        <v>13.75</v>
      </c>
      <c r="T1049">
        <v>52</v>
      </c>
      <c r="U1049">
        <v>52</v>
      </c>
      <c r="W1049">
        <v>14.11</v>
      </c>
      <c r="X1049">
        <v>1</v>
      </c>
      <c r="Y1049">
        <v>9.6300000000000008</v>
      </c>
      <c r="Z1049">
        <v>31.38</v>
      </c>
      <c r="AA1049">
        <v>14</v>
      </c>
      <c r="AB1049">
        <v>2.448</v>
      </c>
      <c r="AC1049">
        <v>17.420000000000002</v>
      </c>
      <c r="AE1049">
        <v>1</v>
      </c>
      <c r="AF1049" t="s">
        <v>2128</v>
      </c>
      <c r="AG1049">
        <v>16</v>
      </c>
      <c r="AK1049" t="s">
        <v>291</v>
      </c>
      <c r="AM1049" t="s">
        <v>98</v>
      </c>
      <c r="AN1049" t="s">
        <v>291</v>
      </c>
      <c r="AO1049" t="s">
        <v>98</v>
      </c>
      <c r="AP1049" t="s">
        <v>99</v>
      </c>
      <c r="AQ1049" t="s">
        <v>102</v>
      </c>
      <c r="AV1049" t="s">
        <v>98</v>
      </c>
      <c r="AX1049" t="s">
        <v>179</v>
      </c>
      <c r="AZ1049" t="s">
        <v>2149</v>
      </c>
      <c r="BB1049" t="s">
        <v>2130</v>
      </c>
      <c r="BC1049" t="s">
        <v>2120</v>
      </c>
      <c r="BF1049" t="s">
        <v>3441</v>
      </c>
      <c r="BG1049" t="s">
        <v>98</v>
      </c>
      <c r="BH1049" t="s">
        <v>98</v>
      </c>
      <c r="BI1049" t="s">
        <v>98</v>
      </c>
      <c r="BK1049" t="s">
        <v>138</v>
      </c>
      <c r="BU1049">
        <v>6</v>
      </c>
      <c r="BW1049">
        <v>0.75</v>
      </c>
      <c r="BX1049" t="s">
        <v>3212</v>
      </c>
      <c r="BY1049" t="s">
        <v>291</v>
      </c>
      <c r="BZ1049" t="s">
        <v>179</v>
      </c>
      <c r="CA1049" t="s">
        <v>3442</v>
      </c>
      <c r="CB1049" t="s">
        <v>179</v>
      </c>
      <c r="CC1049">
        <v>159</v>
      </c>
      <c r="CD1049">
        <v>0.52500000000000002</v>
      </c>
      <c r="CE1049">
        <v>65.180000000000007</v>
      </c>
      <c r="CF1049">
        <v>4531</v>
      </c>
      <c r="CG1049">
        <v>3000</v>
      </c>
      <c r="CH1049">
        <v>95</v>
      </c>
      <c r="CI1049">
        <v>1201.5999999999999</v>
      </c>
      <c r="CJ1049">
        <v>896.3</v>
      </c>
      <c r="CK1049">
        <v>30000</v>
      </c>
      <c r="CL1049" t="s">
        <v>291</v>
      </c>
      <c r="CM1049" t="s">
        <v>291</v>
      </c>
      <c r="CN1049" t="s">
        <v>3443</v>
      </c>
      <c r="CO1049" s="1">
        <v>43349</v>
      </c>
      <c r="CP1049" s="1">
        <v>43595</v>
      </c>
    </row>
    <row r="1050" spans="1:94" x14ac:dyDescent="0.25">
      <c r="A1050" s="4" t="s">
        <v>3446</v>
      </c>
      <c r="B1050" t="str">
        <f xml:space="preserve"> "" &amp; 706411045387</f>
        <v>706411045387</v>
      </c>
      <c r="C1050" t="s">
        <v>2115</v>
      </c>
      <c r="D1050" t="s">
        <v>3439</v>
      </c>
      <c r="E1050" t="s">
        <v>3444</v>
      </c>
      <c r="F1050" t="s">
        <v>2113</v>
      </c>
      <c r="G1050">
        <v>1</v>
      </c>
      <c r="H1050">
        <v>1</v>
      </c>
      <c r="I1050" t="s">
        <v>97</v>
      </c>
      <c r="J1050" s="32">
        <v>144.94999999999999</v>
      </c>
      <c r="K1050" s="32">
        <v>434.85</v>
      </c>
      <c r="L1050">
        <v>0</v>
      </c>
      <c r="N1050">
        <v>0</v>
      </c>
      <c r="Q1050" t="s">
        <v>291</v>
      </c>
      <c r="R1050" s="32">
        <v>279.95</v>
      </c>
      <c r="S1050">
        <v>13.75</v>
      </c>
      <c r="T1050">
        <v>52</v>
      </c>
      <c r="U1050">
        <v>52</v>
      </c>
      <c r="W1050">
        <v>14.11</v>
      </c>
      <c r="X1050">
        <v>1</v>
      </c>
      <c r="Y1050">
        <v>9.6300000000000008</v>
      </c>
      <c r="Z1050">
        <v>31.38</v>
      </c>
      <c r="AA1050">
        <v>14</v>
      </c>
      <c r="AB1050">
        <v>2.448</v>
      </c>
      <c r="AC1050">
        <v>17.420000000000002</v>
      </c>
      <c r="AE1050">
        <v>1</v>
      </c>
      <c r="AF1050" t="s">
        <v>2117</v>
      </c>
      <c r="AG1050">
        <v>16</v>
      </c>
      <c r="AK1050" t="s">
        <v>291</v>
      </c>
      <c r="AM1050" t="s">
        <v>98</v>
      </c>
      <c r="AN1050" t="s">
        <v>291</v>
      </c>
      <c r="AO1050" t="s">
        <v>98</v>
      </c>
      <c r="AP1050" t="s">
        <v>99</v>
      </c>
      <c r="AQ1050" t="s">
        <v>102</v>
      </c>
      <c r="AV1050" t="s">
        <v>98</v>
      </c>
      <c r="AX1050" t="s">
        <v>703</v>
      </c>
      <c r="AZ1050" t="s">
        <v>2180</v>
      </c>
      <c r="BB1050" t="s">
        <v>2119</v>
      </c>
      <c r="BC1050" t="s">
        <v>2120</v>
      </c>
      <c r="BF1050" t="s">
        <v>3447</v>
      </c>
      <c r="BG1050" t="s">
        <v>98</v>
      </c>
      <c r="BH1050" t="s">
        <v>98</v>
      </c>
      <c r="BI1050" t="s">
        <v>98</v>
      </c>
      <c r="BK1050" t="s">
        <v>138</v>
      </c>
      <c r="BU1050">
        <v>6</v>
      </c>
      <c r="BW1050">
        <v>0.75</v>
      </c>
      <c r="BX1050" t="s">
        <v>3212</v>
      </c>
      <c r="BY1050" t="s">
        <v>291</v>
      </c>
      <c r="BZ1050" t="s">
        <v>703</v>
      </c>
      <c r="CA1050" t="s">
        <v>3442</v>
      </c>
      <c r="CB1050" t="s">
        <v>703</v>
      </c>
      <c r="CC1050">
        <v>159</v>
      </c>
      <c r="CD1050">
        <v>0.52500000000000002</v>
      </c>
      <c r="CE1050">
        <v>65.180000000000007</v>
      </c>
      <c r="CF1050">
        <v>4453.3500000000004</v>
      </c>
      <c r="CG1050">
        <v>3000</v>
      </c>
      <c r="CH1050">
        <v>95</v>
      </c>
      <c r="CI1050">
        <v>1201.5999999999999</v>
      </c>
      <c r="CJ1050">
        <v>896</v>
      </c>
      <c r="CK1050">
        <v>30000</v>
      </c>
      <c r="CL1050" t="s">
        <v>291</v>
      </c>
      <c r="CM1050" t="s">
        <v>291</v>
      </c>
      <c r="CN1050" t="s">
        <v>3443</v>
      </c>
      <c r="CO1050" s="1">
        <v>41650</v>
      </c>
      <c r="CP1050" s="1">
        <v>43595</v>
      </c>
    </row>
    <row r="1051" spans="1:94" x14ac:dyDescent="0.25">
      <c r="A1051" s="4" t="s">
        <v>3449</v>
      </c>
      <c r="B1051" t="str">
        <f xml:space="preserve"> "" &amp; 706411045394</f>
        <v>706411045394</v>
      </c>
      <c r="C1051" t="s">
        <v>2140</v>
      </c>
      <c r="D1051" t="s">
        <v>3439</v>
      </c>
      <c r="E1051" t="s">
        <v>3444</v>
      </c>
      <c r="F1051" t="s">
        <v>2113</v>
      </c>
      <c r="G1051">
        <v>1</v>
      </c>
      <c r="H1051">
        <v>1</v>
      </c>
      <c r="I1051" t="s">
        <v>97</v>
      </c>
      <c r="J1051" s="32">
        <v>144.94999999999999</v>
      </c>
      <c r="K1051" s="32">
        <v>434.85</v>
      </c>
      <c r="L1051">
        <v>0</v>
      </c>
      <c r="N1051">
        <v>0</v>
      </c>
      <c r="Q1051" t="s">
        <v>291</v>
      </c>
      <c r="R1051" s="32">
        <v>279.95</v>
      </c>
      <c r="S1051">
        <v>13.75</v>
      </c>
      <c r="T1051">
        <v>52</v>
      </c>
      <c r="U1051">
        <v>52</v>
      </c>
      <c r="W1051">
        <v>14.11</v>
      </c>
      <c r="X1051">
        <v>1</v>
      </c>
      <c r="Y1051">
        <v>9.6300000000000008</v>
      </c>
      <c r="Z1051">
        <v>31.38</v>
      </c>
      <c r="AA1051">
        <v>14</v>
      </c>
      <c r="AB1051">
        <v>2.448</v>
      </c>
      <c r="AC1051">
        <v>17.420000000000002</v>
      </c>
      <c r="AE1051">
        <v>1</v>
      </c>
      <c r="AF1051" t="s">
        <v>2141</v>
      </c>
      <c r="AG1051">
        <v>16</v>
      </c>
      <c r="AK1051" t="s">
        <v>291</v>
      </c>
      <c r="AM1051" t="s">
        <v>98</v>
      </c>
      <c r="AN1051" t="s">
        <v>291</v>
      </c>
      <c r="AO1051" t="s">
        <v>98</v>
      </c>
      <c r="AP1051" t="s">
        <v>99</v>
      </c>
      <c r="AQ1051" t="s">
        <v>102</v>
      </c>
      <c r="AV1051" t="s">
        <v>98</v>
      </c>
      <c r="AX1051" t="s">
        <v>441</v>
      </c>
      <c r="AZ1051" t="s">
        <v>2180</v>
      </c>
      <c r="BB1051" t="s">
        <v>2119</v>
      </c>
      <c r="BC1051" t="s">
        <v>2120</v>
      </c>
      <c r="BF1051" t="s">
        <v>3450</v>
      </c>
      <c r="BG1051" t="s">
        <v>98</v>
      </c>
      <c r="BH1051" t="s">
        <v>98</v>
      </c>
      <c r="BI1051" t="s">
        <v>98</v>
      </c>
      <c r="BK1051" t="s">
        <v>138</v>
      </c>
      <c r="BU1051">
        <v>6</v>
      </c>
      <c r="BW1051">
        <v>0.75</v>
      </c>
      <c r="BX1051" t="s">
        <v>3212</v>
      </c>
      <c r="BY1051" t="s">
        <v>291</v>
      </c>
      <c r="BZ1051" t="s">
        <v>2515</v>
      </c>
      <c r="CA1051" t="s">
        <v>3442</v>
      </c>
      <c r="CB1051" t="s">
        <v>441</v>
      </c>
      <c r="CC1051">
        <v>159</v>
      </c>
      <c r="CD1051">
        <v>0.52500000000000002</v>
      </c>
      <c r="CE1051">
        <v>65.180000000000007</v>
      </c>
      <c r="CF1051">
        <v>4453.3500000000004</v>
      </c>
      <c r="CG1051">
        <v>3000</v>
      </c>
      <c r="CH1051">
        <v>95</v>
      </c>
      <c r="CI1051">
        <v>1201.5999999999999</v>
      </c>
      <c r="CJ1051">
        <v>896.3</v>
      </c>
      <c r="CK1051">
        <v>30000</v>
      </c>
      <c r="CL1051" t="s">
        <v>291</v>
      </c>
      <c r="CM1051" t="s">
        <v>291</v>
      </c>
      <c r="CN1051" t="s">
        <v>3451</v>
      </c>
      <c r="CO1051" s="1">
        <v>41650</v>
      </c>
      <c r="CP1051" s="1">
        <v>43595</v>
      </c>
    </row>
    <row r="1052" spans="1:94" x14ac:dyDescent="0.25">
      <c r="A1052" s="4" t="s">
        <v>3452</v>
      </c>
      <c r="B1052" t="str">
        <f xml:space="preserve"> "" &amp; 706411045370</f>
        <v>706411045370</v>
      </c>
      <c r="C1052" t="s">
        <v>2115</v>
      </c>
      <c r="D1052" t="s">
        <v>3439</v>
      </c>
      <c r="E1052" t="s">
        <v>3444</v>
      </c>
      <c r="F1052" t="s">
        <v>2113</v>
      </c>
      <c r="G1052">
        <v>1</v>
      </c>
      <c r="H1052">
        <v>1</v>
      </c>
      <c r="I1052" t="s">
        <v>97</v>
      </c>
      <c r="J1052" s="32">
        <v>144.94999999999999</v>
      </c>
      <c r="K1052" s="32">
        <v>434.85</v>
      </c>
      <c r="L1052">
        <v>0</v>
      </c>
      <c r="N1052">
        <v>0</v>
      </c>
      <c r="Q1052" t="s">
        <v>291</v>
      </c>
      <c r="R1052" s="32">
        <v>279.95</v>
      </c>
      <c r="S1052">
        <v>13.75</v>
      </c>
      <c r="T1052">
        <v>52</v>
      </c>
      <c r="U1052">
        <v>52</v>
      </c>
      <c r="W1052">
        <v>14.11</v>
      </c>
      <c r="X1052">
        <v>1</v>
      </c>
      <c r="Y1052">
        <v>9.6300000000000008</v>
      </c>
      <c r="Z1052">
        <v>31.38</v>
      </c>
      <c r="AA1052">
        <v>14</v>
      </c>
      <c r="AB1052">
        <v>2.448</v>
      </c>
      <c r="AC1052">
        <v>17.420000000000002</v>
      </c>
      <c r="AE1052">
        <v>1</v>
      </c>
      <c r="AF1052" t="s">
        <v>2117</v>
      </c>
      <c r="AG1052">
        <v>16</v>
      </c>
      <c r="AK1052" t="s">
        <v>291</v>
      </c>
      <c r="AM1052" t="s">
        <v>98</v>
      </c>
      <c r="AN1052" t="s">
        <v>291</v>
      </c>
      <c r="AO1052" t="s">
        <v>98</v>
      </c>
      <c r="AP1052" t="s">
        <v>99</v>
      </c>
      <c r="AQ1052" t="s">
        <v>102</v>
      </c>
      <c r="AV1052" t="s">
        <v>98</v>
      </c>
      <c r="AX1052" t="s">
        <v>302</v>
      </c>
      <c r="AZ1052" t="s">
        <v>2180</v>
      </c>
      <c r="BB1052" t="s">
        <v>106</v>
      </c>
      <c r="BC1052" t="s">
        <v>2120</v>
      </c>
      <c r="BF1052" t="s">
        <v>3453</v>
      </c>
      <c r="BG1052" t="s">
        <v>98</v>
      </c>
      <c r="BH1052" t="s">
        <v>98</v>
      </c>
      <c r="BI1052" t="s">
        <v>98</v>
      </c>
      <c r="BK1052" t="s">
        <v>138</v>
      </c>
      <c r="BU1052">
        <v>6</v>
      </c>
      <c r="BW1052">
        <v>0.75</v>
      </c>
      <c r="BX1052" t="s">
        <v>3212</v>
      </c>
      <c r="BY1052" t="s">
        <v>291</v>
      </c>
      <c r="BZ1052" t="s">
        <v>2147</v>
      </c>
      <c r="CA1052" t="s">
        <v>3442</v>
      </c>
      <c r="CB1052" t="s">
        <v>302</v>
      </c>
      <c r="CC1052">
        <v>159</v>
      </c>
      <c r="CD1052">
        <v>0.52500000000000002</v>
      </c>
      <c r="CE1052">
        <v>65.180000000000007</v>
      </c>
      <c r="CF1052">
        <v>4453.3500000000004</v>
      </c>
      <c r="CG1052">
        <v>3000</v>
      </c>
      <c r="CH1052">
        <v>95</v>
      </c>
      <c r="CI1052">
        <v>1201.5999999999999</v>
      </c>
      <c r="CJ1052">
        <v>896.3</v>
      </c>
      <c r="CK1052">
        <v>30000</v>
      </c>
      <c r="CL1052" t="s">
        <v>291</v>
      </c>
      <c r="CM1052" t="s">
        <v>291</v>
      </c>
      <c r="CN1052" t="s">
        <v>3443</v>
      </c>
      <c r="CO1052" s="1">
        <v>41650</v>
      </c>
      <c r="CP1052" s="1">
        <v>43595</v>
      </c>
    </row>
    <row r="1053" spans="1:94" x14ac:dyDescent="0.25">
      <c r="A1053" s="4" t="s">
        <v>3454</v>
      </c>
      <c r="B1053" t="str">
        <f xml:space="preserve"> "" &amp; 706411058844</f>
        <v>706411058844</v>
      </c>
      <c r="C1053" t="s">
        <v>2418</v>
      </c>
      <c r="D1053" t="s">
        <v>3455</v>
      </c>
      <c r="E1053" t="s">
        <v>3456</v>
      </c>
      <c r="F1053" t="s">
        <v>2113</v>
      </c>
      <c r="G1053">
        <v>1</v>
      </c>
      <c r="H1053">
        <v>1</v>
      </c>
      <c r="I1053" t="s">
        <v>97</v>
      </c>
      <c r="J1053" s="32">
        <v>149.94999999999999</v>
      </c>
      <c r="K1053" s="32">
        <v>449.85</v>
      </c>
      <c r="L1053">
        <v>0</v>
      </c>
      <c r="N1053">
        <v>0</v>
      </c>
      <c r="Q1053" t="s">
        <v>291</v>
      </c>
      <c r="R1053" s="32">
        <v>299.95</v>
      </c>
      <c r="S1053">
        <v>13</v>
      </c>
      <c r="T1053">
        <v>60</v>
      </c>
      <c r="U1053">
        <v>60</v>
      </c>
      <c r="W1053">
        <v>11.62</v>
      </c>
      <c r="X1053">
        <v>1</v>
      </c>
      <c r="Y1053">
        <v>10.130000000000001</v>
      </c>
      <c r="Z1053">
        <v>37.25</v>
      </c>
      <c r="AA1053">
        <v>12.5</v>
      </c>
      <c r="AB1053">
        <v>2.73</v>
      </c>
      <c r="AC1053">
        <v>15.74</v>
      </c>
      <c r="AK1053" t="s">
        <v>98</v>
      </c>
      <c r="AM1053" t="s">
        <v>98</v>
      </c>
      <c r="AN1053" t="s">
        <v>291</v>
      </c>
      <c r="AO1053" t="s">
        <v>98</v>
      </c>
      <c r="AP1053" t="s">
        <v>99</v>
      </c>
      <c r="AQ1053" t="s">
        <v>102</v>
      </c>
      <c r="AV1053" t="s">
        <v>98</v>
      </c>
      <c r="AX1053" t="s">
        <v>703</v>
      </c>
      <c r="AZ1053" t="s">
        <v>535</v>
      </c>
      <c r="BF1053" t="s">
        <v>3457</v>
      </c>
      <c r="BG1053" t="s">
        <v>98</v>
      </c>
      <c r="BH1053" t="s">
        <v>98</v>
      </c>
      <c r="BI1053" t="s">
        <v>98</v>
      </c>
      <c r="BK1053" t="s">
        <v>138</v>
      </c>
      <c r="BU1053">
        <v>6</v>
      </c>
      <c r="BW1053">
        <v>0.75</v>
      </c>
      <c r="BX1053" t="s">
        <v>3212</v>
      </c>
      <c r="BZ1053" t="s">
        <v>703</v>
      </c>
      <c r="CA1053" t="s">
        <v>3458</v>
      </c>
      <c r="CB1053" t="s">
        <v>703</v>
      </c>
      <c r="CC1053">
        <v>205</v>
      </c>
      <c r="CD1053">
        <v>0.37</v>
      </c>
      <c r="CE1053">
        <v>29.14</v>
      </c>
      <c r="CF1053">
        <v>4231</v>
      </c>
      <c r="CL1053" t="s">
        <v>98</v>
      </c>
      <c r="CM1053" t="s">
        <v>291</v>
      </c>
      <c r="CN1053" t="s">
        <v>2156</v>
      </c>
      <c r="CO1053" s="1">
        <v>43069</v>
      </c>
      <c r="CP1053" s="1">
        <v>43651</v>
      </c>
    </row>
    <row r="1054" spans="1:94" x14ac:dyDescent="0.25">
      <c r="A1054" s="4" t="s">
        <v>3459</v>
      </c>
      <c r="B1054" t="str">
        <f xml:space="preserve"> "" &amp; 706411058851</f>
        <v>706411058851</v>
      </c>
      <c r="C1054" t="s">
        <v>2418</v>
      </c>
      <c r="D1054" t="s">
        <v>3455</v>
      </c>
      <c r="E1054" t="s">
        <v>3456</v>
      </c>
      <c r="F1054" t="s">
        <v>2113</v>
      </c>
      <c r="G1054">
        <v>1</v>
      </c>
      <c r="H1054">
        <v>1</v>
      </c>
      <c r="I1054" t="s">
        <v>97</v>
      </c>
      <c r="J1054" s="32">
        <v>149.94999999999999</v>
      </c>
      <c r="K1054" s="32">
        <v>449.85</v>
      </c>
      <c r="L1054">
        <v>0</v>
      </c>
      <c r="N1054">
        <v>0</v>
      </c>
      <c r="Q1054" t="s">
        <v>291</v>
      </c>
      <c r="R1054" s="32">
        <v>299.95</v>
      </c>
      <c r="S1054">
        <v>13</v>
      </c>
      <c r="T1054">
        <v>60</v>
      </c>
      <c r="U1054">
        <v>60</v>
      </c>
      <c r="W1054">
        <v>11.62</v>
      </c>
      <c r="X1054">
        <v>1</v>
      </c>
      <c r="Y1054">
        <v>10.130000000000001</v>
      </c>
      <c r="Z1054">
        <v>37.25</v>
      </c>
      <c r="AA1054">
        <v>12.5</v>
      </c>
      <c r="AB1054">
        <v>2.73</v>
      </c>
      <c r="AC1054">
        <v>15.74</v>
      </c>
      <c r="AK1054" t="s">
        <v>98</v>
      </c>
      <c r="AM1054" t="s">
        <v>98</v>
      </c>
      <c r="AN1054" t="s">
        <v>291</v>
      </c>
      <c r="AO1054" t="s">
        <v>98</v>
      </c>
      <c r="AP1054" t="s">
        <v>99</v>
      </c>
      <c r="AQ1054" t="s">
        <v>102</v>
      </c>
      <c r="AV1054" t="s">
        <v>98</v>
      </c>
      <c r="AX1054" t="s">
        <v>441</v>
      </c>
      <c r="AZ1054" t="s">
        <v>535</v>
      </c>
      <c r="BF1054" t="s">
        <v>3460</v>
      </c>
      <c r="BG1054" t="s">
        <v>98</v>
      </c>
      <c r="BH1054" t="s">
        <v>98</v>
      </c>
      <c r="BI1054" t="s">
        <v>98</v>
      </c>
      <c r="BK1054" t="s">
        <v>138</v>
      </c>
      <c r="BU1054">
        <v>6</v>
      </c>
      <c r="BW1054">
        <v>0.75</v>
      </c>
      <c r="BX1054" t="s">
        <v>3212</v>
      </c>
      <c r="BZ1054" t="s">
        <v>441</v>
      </c>
      <c r="CA1054" t="s">
        <v>3458</v>
      </c>
      <c r="CB1054" t="s">
        <v>441</v>
      </c>
      <c r="CC1054">
        <v>205</v>
      </c>
      <c r="CD1054">
        <v>0.37</v>
      </c>
      <c r="CE1054">
        <v>29.14</v>
      </c>
      <c r="CF1054">
        <v>4231</v>
      </c>
      <c r="CL1054" t="s">
        <v>98</v>
      </c>
      <c r="CM1054" t="s">
        <v>291</v>
      </c>
      <c r="CN1054" t="s">
        <v>2156</v>
      </c>
      <c r="CO1054" s="1">
        <v>43069</v>
      </c>
      <c r="CP1054" s="1">
        <v>43651</v>
      </c>
    </row>
    <row r="1055" spans="1:94" x14ac:dyDescent="0.25">
      <c r="A1055" s="4" t="s">
        <v>3461</v>
      </c>
      <c r="B1055" t="str">
        <f xml:space="preserve"> "" &amp; 706411059148</f>
        <v>706411059148</v>
      </c>
      <c r="C1055" t="s">
        <v>2418</v>
      </c>
      <c r="D1055" t="s">
        <v>3455</v>
      </c>
      <c r="E1055" t="s">
        <v>3456</v>
      </c>
      <c r="F1055" t="s">
        <v>2113</v>
      </c>
      <c r="G1055">
        <v>1</v>
      </c>
      <c r="H1055">
        <v>1</v>
      </c>
      <c r="I1055" t="s">
        <v>97</v>
      </c>
      <c r="J1055" s="32">
        <v>149.94999999999999</v>
      </c>
      <c r="K1055" s="32">
        <v>449.85</v>
      </c>
      <c r="L1055">
        <v>0</v>
      </c>
      <c r="N1055">
        <v>0</v>
      </c>
      <c r="Q1055" t="s">
        <v>291</v>
      </c>
      <c r="R1055" s="32">
        <v>299.95</v>
      </c>
      <c r="S1055">
        <v>13</v>
      </c>
      <c r="T1055">
        <v>60</v>
      </c>
      <c r="U1055">
        <v>60</v>
      </c>
      <c r="W1055">
        <v>11.62</v>
      </c>
      <c r="X1055">
        <v>1</v>
      </c>
      <c r="Y1055">
        <v>10.130000000000001</v>
      </c>
      <c r="Z1055">
        <v>37.25</v>
      </c>
      <c r="AA1055">
        <v>12.5</v>
      </c>
      <c r="AB1055">
        <v>2.73</v>
      </c>
      <c r="AC1055">
        <v>15.74</v>
      </c>
      <c r="AK1055" t="s">
        <v>98</v>
      </c>
      <c r="AM1055" t="s">
        <v>98</v>
      </c>
      <c r="AN1055" t="s">
        <v>291</v>
      </c>
      <c r="AO1055" t="s">
        <v>98</v>
      </c>
      <c r="AP1055" t="s">
        <v>99</v>
      </c>
      <c r="AQ1055" t="s">
        <v>102</v>
      </c>
      <c r="AV1055" t="s">
        <v>98</v>
      </c>
      <c r="AX1055" t="s">
        <v>306</v>
      </c>
      <c r="AZ1055" t="s">
        <v>535</v>
      </c>
      <c r="BF1055" t="s">
        <v>3462</v>
      </c>
      <c r="BG1055" t="s">
        <v>98</v>
      </c>
      <c r="BH1055" t="s">
        <v>98</v>
      </c>
      <c r="BI1055" t="s">
        <v>98</v>
      </c>
      <c r="BK1055" t="s">
        <v>138</v>
      </c>
      <c r="BU1055">
        <v>6</v>
      </c>
      <c r="BW1055">
        <v>0.75</v>
      </c>
      <c r="BX1055" t="s">
        <v>3212</v>
      </c>
      <c r="BY1055" t="s">
        <v>98</v>
      </c>
      <c r="BZ1055" t="s">
        <v>306</v>
      </c>
      <c r="CA1055" t="s">
        <v>3458</v>
      </c>
      <c r="CB1055" t="s">
        <v>306</v>
      </c>
      <c r="CC1055">
        <v>205</v>
      </c>
      <c r="CD1055">
        <v>0.37</v>
      </c>
      <c r="CE1055">
        <v>29.14</v>
      </c>
      <c r="CF1055">
        <v>4231</v>
      </c>
      <c r="CL1055" t="s">
        <v>98</v>
      </c>
      <c r="CM1055" t="s">
        <v>291</v>
      </c>
      <c r="CN1055" t="s">
        <v>2156</v>
      </c>
      <c r="CO1055" s="1">
        <v>43061</v>
      </c>
      <c r="CP1055" s="1">
        <v>43651</v>
      </c>
    </row>
    <row r="1056" spans="1:94" x14ac:dyDescent="0.25">
      <c r="A1056" s="4" t="s">
        <v>3463</v>
      </c>
      <c r="B1056" t="str">
        <f xml:space="preserve"> "" &amp; 706411059759</f>
        <v>706411059759</v>
      </c>
      <c r="C1056" t="s">
        <v>3464</v>
      </c>
      <c r="D1056" t="s">
        <v>3465</v>
      </c>
      <c r="E1056" t="s">
        <v>3211</v>
      </c>
      <c r="F1056" t="s">
        <v>2113</v>
      </c>
      <c r="G1056">
        <v>1</v>
      </c>
      <c r="H1056">
        <v>1</v>
      </c>
      <c r="I1056" t="s">
        <v>97</v>
      </c>
      <c r="J1056" s="32">
        <v>399</v>
      </c>
      <c r="K1056" s="32">
        <v>1197</v>
      </c>
      <c r="L1056">
        <v>0</v>
      </c>
      <c r="N1056">
        <v>0</v>
      </c>
      <c r="Q1056" t="s">
        <v>291</v>
      </c>
      <c r="R1056" s="32">
        <v>799.95</v>
      </c>
      <c r="S1056">
        <v>15.5</v>
      </c>
      <c r="T1056">
        <v>84</v>
      </c>
      <c r="U1056">
        <v>84</v>
      </c>
      <c r="W1056">
        <v>19.14</v>
      </c>
      <c r="X1056">
        <v>1</v>
      </c>
      <c r="Y1056">
        <v>11</v>
      </c>
      <c r="Z1056">
        <v>44.13</v>
      </c>
      <c r="AA1056">
        <v>14.63</v>
      </c>
      <c r="AB1056">
        <v>4.1100000000000003</v>
      </c>
      <c r="AC1056">
        <v>25.62</v>
      </c>
      <c r="AE1056">
        <v>1</v>
      </c>
      <c r="AF1056" t="s">
        <v>2141</v>
      </c>
      <c r="AG1056">
        <v>26</v>
      </c>
      <c r="AK1056" t="s">
        <v>291</v>
      </c>
      <c r="AM1056" t="s">
        <v>98</v>
      </c>
      <c r="AN1056" t="s">
        <v>291</v>
      </c>
      <c r="AO1056" t="s">
        <v>98</v>
      </c>
      <c r="AP1056" t="s">
        <v>99</v>
      </c>
      <c r="AQ1056" t="s">
        <v>102</v>
      </c>
      <c r="AV1056" t="s">
        <v>98</v>
      </c>
      <c r="AX1056" t="s">
        <v>3466</v>
      </c>
      <c r="AZ1056" t="s">
        <v>535</v>
      </c>
      <c r="BB1056" t="s">
        <v>106</v>
      </c>
      <c r="BC1056" t="s">
        <v>2969</v>
      </c>
      <c r="BF1056" t="s">
        <v>3467</v>
      </c>
      <c r="BG1056" t="s">
        <v>98</v>
      </c>
      <c r="BH1056" t="s">
        <v>98</v>
      </c>
      <c r="BI1056" t="s">
        <v>98</v>
      </c>
      <c r="BK1056" t="s">
        <v>138</v>
      </c>
      <c r="BU1056">
        <v>10</v>
      </c>
      <c r="BW1056">
        <v>0.75</v>
      </c>
      <c r="BX1056" t="s">
        <v>3468</v>
      </c>
      <c r="BY1056" t="s">
        <v>291</v>
      </c>
      <c r="BZ1056" t="s">
        <v>2466</v>
      </c>
      <c r="CA1056" t="s">
        <v>3469</v>
      </c>
      <c r="CB1056" t="s">
        <v>3466</v>
      </c>
      <c r="CC1056">
        <v>74</v>
      </c>
      <c r="CD1056">
        <v>0.57999999999999996</v>
      </c>
      <c r="CE1056">
        <v>35.51</v>
      </c>
      <c r="CF1056">
        <v>7939</v>
      </c>
      <c r="CG1056">
        <v>3000</v>
      </c>
      <c r="CH1056">
        <v>84</v>
      </c>
      <c r="CI1056">
        <v>2183</v>
      </c>
      <c r="CJ1056">
        <v>1103</v>
      </c>
      <c r="CK1056">
        <v>30000</v>
      </c>
      <c r="CL1056" t="s">
        <v>291</v>
      </c>
      <c r="CM1056" t="s">
        <v>291</v>
      </c>
      <c r="CN1056" t="s">
        <v>3470</v>
      </c>
      <c r="CO1056" s="1">
        <v>43153</v>
      </c>
      <c r="CP1056" s="1">
        <v>43595</v>
      </c>
    </row>
    <row r="1057" spans="1:94" x14ac:dyDescent="0.25">
      <c r="A1057" s="4" t="s">
        <v>3471</v>
      </c>
      <c r="B1057" t="str">
        <f xml:space="preserve"> "" &amp; 706411059766</f>
        <v>706411059766</v>
      </c>
      <c r="C1057" t="s">
        <v>3464</v>
      </c>
      <c r="D1057" t="s">
        <v>3465</v>
      </c>
      <c r="E1057" t="s">
        <v>3211</v>
      </c>
      <c r="F1057" t="s">
        <v>2113</v>
      </c>
      <c r="G1057">
        <v>1</v>
      </c>
      <c r="H1057">
        <v>1</v>
      </c>
      <c r="I1057" t="s">
        <v>97</v>
      </c>
      <c r="J1057" s="32">
        <v>399</v>
      </c>
      <c r="K1057" s="32">
        <v>1197</v>
      </c>
      <c r="L1057">
        <v>0</v>
      </c>
      <c r="N1057">
        <v>0</v>
      </c>
      <c r="Q1057" t="s">
        <v>291</v>
      </c>
      <c r="R1057" s="32">
        <v>799.95</v>
      </c>
      <c r="S1057">
        <v>15.5</v>
      </c>
      <c r="T1057">
        <v>84</v>
      </c>
      <c r="U1057">
        <v>84</v>
      </c>
      <c r="W1057">
        <v>19.14</v>
      </c>
      <c r="X1057">
        <v>1</v>
      </c>
      <c r="Y1057">
        <v>11</v>
      </c>
      <c r="Z1057">
        <v>44.13</v>
      </c>
      <c r="AA1057">
        <v>14.63</v>
      </c>
      <c r="AB1057">
        <v>4.1100000000000003</v>
      </c>
      <c r="AC1057">
        <v>25.62</v>
      </c>
      <c r="AE1057">
        <v>1</v>
      </c>
      <c r="AF1057" t="s">
        <v>2141</v>
      </c>
      <c r="AG1057">
        <v>26</v>
      </c>
      <c r="AK1057" t="s">
        <v>291</v>
      </c>
      <c r="AM1057" t="s">
        <v>98</v>
      </c>
      <c r="AN1057" t="s">
        <v>291</v>
      </c>
      <c r="AO1057" t="s">
        <v>98</v>
      </c>
      <c r="AP1057" t="s">
        <v>99</v>
      </c>
      <c r="AQ1057" t="s">
        <v>102</v>
      </c>
      <c r="AV1057" t="s">
        <v>98</v>
      </c>
      <c r="AX1057" t="s">
        <v>3472</v>
      </c>
      <c r="AZ1057" t="s">
        <v>535</v>
      </c>
      <c r="BF1057" t="s">
        <v>3473</v>
      </c>
      <c r="BG1057" t="s">
        <v>98</v>
      </c>
      <c r="BH1057" t="s">
        <v>98</v>
      </c>
      <c r="BI1057" t="s">
        <v>98</v>
      </c>
      <c r="BK1057" t="s">
        <v>138</v>
      </c>
      <c r="BU1057">
        <v>10</v>
      </c>
      <c r="BW1057">
        <v>0.75</v>
      </c>
      <c r="BX1057" t="s">
        <v>3468</v>
      </c>
      <c r="BY1057" t="s">
        <v>291</v>
      </c>
      <c r="BZ1057" t="s">
        <v>235</v>
      </c>
      <c r="CA1057" t="s">
        <v>3469</v>
      </c>
      <c r="CB1057" t="s">
        <v>3472</v>
      </c>
      <c r="CC1057">
        <v>74</v>
      </c>
      <c r="CD1057">
        <v>58</v>
      </c>
      <c r="CE1057">
        <v>35.51</v>
      </c>
      <c r="CF1057">
        <v>7939</v>
      </c>
      <c r="CG1057">
        <v>3000</v>
      </c>
      <c r="CH1057">
        <v>84</v>
      </c>
      <c r="CI1057">
        <v>2183</v>
      </c>
      <c r="CJ1057">
        <v>1103</v>
      </c>
      <c r="CK1057">
        <v>30000</v>
      </c>
      <c r="CL1057" t="s">
        <v>291</v>
      </c>
      <c r="CM1057" t="s">
        <v>291</v>
      </c>
      <c r="CN1057" t="s">
        <v>3474</v>
      </c>
      <c r="CO1057" s="1">
        <v>43153</v>
      </c>
      <c r="CP1057" s="1">
        <v>43595</v>
      </c>
    </row>
    <row r="1058" spans="1:94" x14ac:dyDescent="0.25">
      <c r="A1058" s="4" t="s">
        <v>3475</v>
      </c>
      <c r="B1058" t="str">
        <f xml:space="preserve"> "" &amp; 706411058967</f>
        <v>706411058967</v>
      </c>
      <c r="C1058" t="s">
        <v>3347</v>
      </c>
      <c r="D1058" t="s">
        <v>3476</v>
      </c>
      <c r="E1058" t="s">
        <v>3477</v>
      </c>
      <c r="F1058" t="s">
        <v>2113</v>
      </c>
      <c r="G1058">
        <v>1</v>
      </c>
      <c r="H1058">
        <v>1</v>
      </c>
      <c r="I1058" t="s">
        <v>97</v>
      </c>
      <c r="J1058" s="32">
        <v>249.95</v>
      </c>
      <c r="K1058" s="32">
        <v>749.85</v>
      </c>
      <c r="L1058">
        <v>0</v>
      </c>
      <c r="N1058">
        <v>0</v>
      </c>
      <c r="Q1058" t="s">
        <v>291</v>
      </c>
      <c r="R1058" s="32">
        <v>499.95</v>
      </c>
      <c r="S1058">
        <v>16.75</v>
      </c>
      <c r="T1058">
        <v>56</v>
      </c>
      <c r="U1058">
        <v>56</v>
      </c>
      <c r="W1058">
        <v>19.18</v>
      </c>
      <c r="X1058">
        <v>1</v>
      </c>
      <c r="Y1058">
        <v>10.75</v>
      </c>
      <c r="Z1058">
        <v>27.25</v>
      </c>
      <c r="AA1058">
        <v>15.75</v>
      </c>
      <c r="AB1058">
        <v>2.67</v>
      </c>
      <c r="AC1058">
        <v>22.71</v>
      </c>
      <c r="AE1058">
        <v>1</v>
      </c>
      <c r="AF1058" t="s">
        <v>2141</v>
      </c>
      <c r="AG1058">
        <v>31</v>
      </c>
      <c r="AK1058" t="s">
        <v>291</v>
      </c>
      <c r="AM1058" t="s">
        <v>98</v>
      </c>
      <c r="AN1058" t="s">
        <v>98</v>
      </c>
      <c r="AO1058" t="s">
        <v>291</v>
      </c>
      <c r="AP1058" t="s">
        <v>99</v>
      </c>
      <c r="AQ1058" t="s">
        <v>102</v>
      </c>
      <c r="AV1058" t="s">
        <v>98</v>
      </c>
      <c r="AX1058" t="s">
        <v>2129</v>
      </c>
      <c r="AZ1058" t="s">
        <v>535</v>
      </c>
      <c r="BB1058" t="s">
        <v>106</v>
      </c>
      <c r="BC1058" t="s">
        <v>2152</v>
      </c>
      <c r="BF1058" t="s">
        <v>3478</v>
      </c>
      <c r="BG1058" t="s">
        <v>98</v>
      </c>
      <c r="BH1058" t="s">
        <v>98</v>
      </c>
      <c r="BI1058" t="s">
        <v>98</v>
      </c>
      <c r="BK1058" t="s">
        <v>138</v>
      </c>
      <c r="BU1058">
        <v>6</v>
      </c>
      <c r="BW1058">
        <v>0.75</v>
      </c>
      <c r="BX1058" t="s">
        <v>2206</v>
      </c>
      <c r="BY1058" t="s">
        <v>291</v>
      </c>
      <c r="BZ1058" t="s">
        <v>441</v>
      </c>
      <c r="CA1058" t="s">
        <v>3479</v>
      </c>
      <c r="CB1058" t="s">
        <v>2129</v>
      </c>
      <c r="CC1058">
        <v>179</v>
      </c>
      <c r="CD1058">
        <v>0.44</v>
      </c>
      <c r="CE1058">
        <v>32.89</v>
      </c>
      <c r="CF1058">
        <v>5968</v>
      </c>
      <c r="CG1058">
        <v>3000</v>
      </c>
      <c r="CH1058">
        <v>92</v>
      </c>
      <c r="CI1058">
        <v>2193</v>
      </c>
      <c r="CJ1058">
        <v>1003</v>
      </c>
      <c r="CK1058">
        <v>30000</v>
      </c>
      <c r="CL1058" t="s">
        <v>291</v>
      </c>
      <c r="CM1058" t="s">
        <v>291</v>
      </c>
      <c r="CN1058" t="s">
        <v>2156</v>
      </c>
      <c r="CO1058" s="1">
        <v>43069</v>
      </c>
      <c r="CP1058" s="1">
        <v>43595</v>
      </c>
    </row>
    <row r="1059" spans="1:94" x14ac:dyDescent="0.25">
      <c r="A1059" s="4" t="s">
        <v>3480</v>
      </c>
      <c r="B1059" t="str">
        <f xml:space="preserve"> "" &amp; 706411058974</f>
        <v>706411058974</v>
      </c>
      <c r="C1059" t="s">
        <v>3347</v>
      </c>
      <c r="D1059" t="s">
        <v>3476</v>
      </c>
      <c r="E1059" t="s">
        <v>3477</v>
      </c>
      <c r="F1059" t="s">
        <v>2113</v>
      </c>
      <c r="G1059">
        <v>1</v>
      </c>
      <c r="H1059">
        <v>1</v>
      </c>
      <c r="I1059" t="s">
        <v>97</v>
      </c>
      <c r="J1059" s="32">
        <v>249.95</v>
      </c>
      <c r="K1059" s="32">
        <v>749.85</v>
      </c>
      <c r="L1059">
        <v>0</v>
      </c>
      <c r="N1059">
        <v>0</v>
      </c>
      <c r="Q1059" t="s">
        <v>291</v>
      </c>
      <c r="R1059" s="32">
        <v>499.95</v>
      </c>
      <c r="S1059">
        <v>16.75</v>
      </c>
      <c r="T1059">
        <v>56</v>
      </c>
      <c r="U1059">
        <v>56</v>
      </c>
      <c r="W1059">
        <v>19.18</v>
      </c>
      <c r="X1059">
        <v>1</v>
      </c>
      <c r="Y1059">
        <v>10.75</v>
      </c>
      <c r="Z1059">
        <v>27.25</v>
      </c>
      <c r="AA1059">
        <v>15.75</v>
      </c>
      <c r="AB1059">
        <v>2.67</v>
      </c>
      <c r="AC1059">
        <v>22.71</v>
      </c>
      <c r="AE1059">
        <v>1</v>
      </c>
      <c r="AF1059" t="s">
        <v>2141</v>
      </c>
      <c r="AG1059">
        <v>31</v>
      </c>
      <c r="AK1059" t="s">
        <v>291</v>
      </c>
      <c r="AM1059" t="s">
        <v>98</v>
      </c>
      <c r="AN1059" t="s">
        <v>98</v>
      </c>
      <c r="AO1059" t="s">
        <v>291</v>
      </c>
      <c r="AP1059" t="s">
        <v>99</v>
      </c>
      <c r="AQ1059" t="s">
        <v>102</v>
      </c>
      <c r="AV1059" t="s">
        <v>98</v>
      </c>
      <c r="AX1059" t="s">
        <v>441</v>
      </c>
      <c r="AZ1059" t="s">
        <v>535</v>
      </c>
      <c r="BB1059" t="s">
        <v>106</v>
      </c>
      <c r="BC1059" t="s">
        <v>2152</v>
      </c>
      <c r="BF1059" t="s">
        <v>3481</v>
      </c>
      <c r="BG1059" t="s">
        <v>98</v>
      </c>
      <c r="BH1059" t="s">
        <v>98</v>
      </c>
      <c r="BI1059" t="s">
        <v>98</v>
      </c>
      <c r="BK1059" t="s">
        <v>138</v>
      </c>
      <c r="BU1059">
        <v>6</v>
      </c>
      <c r="BW1059">
        <v>0.75</v>
      </c>
      <c r="BX1059" t="s">
        <v>2206</v>
      </c>
      <c r="BY1059" t="s">
        <v>291</v>
      </c>
      <c r="BZ1059" t="s">
        <v>441</v>
      </c>
      <c r="CA1059" t="s">
        <v>3479</v>
      </c>
      <c r="CB1059" t="s">
        <v>441</v>
      </c>
      <c r="CC1059">
        <v>179</v>
      </c>
      <c r="CD1059">
        <v>0.44</v>
      </c>
      <c r="CE1059">
        <v>32.89</v>
      </c>
      <c r="CF1059">
        <v>5968</v>
      </c>
      <c r="CG1059">
        <v>3000</v>
      </c>
      <c r="CH1059">
        <v>92</v>
      </c>
      <c r="CI1059">
        <v>2193</v>
      </c>
      <c r="CJ1059">
        <v>1003</v>
      </c>
      <c r="CK1059">
        <v>30000</v>
      </c>
      <c r="CL1059" t="s">
        <v>291</v>
      </c>
      <c r="CM1059" t="s">
        <v>291</v>
      </c>
      <c r="CN1059" t="s">
        <v>2156</v>
      </c>
      <c r="CO1059" s="1">
        <v>43069</v>
      </c>
      <c r="CP1059" s="1">
        <v>43595</v>
      </c>
    </row>
    <row r="1060" spans="1:94" x14ac:dyDescent="0.25">
      <c r="A1060" s="4" t="s">
        <v>3482</v>
      </c>
      <c r="B1060" t="str">
        <f xml:space="preserve"> "" &amp; 706411058981</f>
        <v>706411058981</v>
      </c>
      <c r="C1060" t="s">
        <v>3347</v>
      </c>
      <c r="D1060" t="s">
        <v>3476</v>
      </c>
      <c r="E1060" t="s">
        <v>3477</v>
      </c>
      <c r="F1060" t="s">
        <v>2113</v>
      </c>
      <c r="G1060">
        <v>1</v>
      </c>
      <c r="H1060">
        <v>1</v>
      </c>
      <c r="I1060" t="s">
        <v>97</v>
      </c>
      <c r="J1060" s="32">
        <v>249.95</v>
      </c>
      <c r="K1060" s="32">
        <v>749.85</v>
      </c>
      <c r="L1060">
        <v>0</v>
      </c>
      <c r="N1060">
        <v>0</v>
      </c>
      <c r="Q1060" t="s">
        <v>291</v>
      </c>
      <c r="R1060" s="32">
        <v>499.95</v>
      </c>
      <c r="S1060">
        <v>16.75</v>
      </c>
      <c r="T1060">
        <v>56</v>
      </c>
      <c r="U1060">
        <v>56</v>
      </c>
      <c r="W1060">
        <v>19.18</v>
      </c>
      <c r="X1060">
        <v>1</v>
      </c>
      <c r="Y1060">
        <v>10.75</v>
      </c>
      <c r="Z1060">
        <v>27.25</v>
      </c>
      <c r="AA1060">
        <v>15.75</v>
      </c>
      <c r="AB1060">
        <v>2.67</v>
      </c>
      <c r="AC1060">
        <v>22.71</v>
      </c>
      <c r="AE1060">
        <v>1</v>
      </c>
      <c r="AF1060" t="s">
        <v>2141</v>
      </c>
      <c r="AG1060">
        <v>31</v>
      </c>
      <c r="AK1060" t="s">
        <v>291</v>
      </c>
      <c r="AM1060" t="s">
        <v>98</v>
      </c>
      <c r="AN1060" t="s">
        <v>98</v>
      </c>
      <c r="AO1060" t="s">
        <v>291</v>
      </c>
      <c r="AP1060" t="s">
        <v>99</v>
      </c>
      <c r="AQ1060" t="s">
        <v>102</v>
      </c>
      <c r="AV1060" t="s">
        <v>98</v>
      </c>
      <c r="AX1060" t="s">
        <v>302</v>
      </c>
      <c r="AZ1060" t="s">
        <v>535</v>
      </c>
      <c r="BB1060" t="s">
        <v>106</v>
      </c>
      <c r="BC1060" t="s">
        <v>2152</v>
      </c>
      <c r="BF1060" t="s">
        <v>3483</v>
      </c>
      <c r="BG1060" t="s">
        <v>98</v>
      </c>
      <c r="BH1060" t="s">
        <v>98</v>
      </c>
      <c r="BI1060" t="s">
        <v>98</v>
      </c>
      <c r="BK1060" t="s">
        <v>138</v>
      </c>
      <c r="BU1060">
        <v>6</v>
      </c>
      <c r="BW1060">
        <v>0.75</v>
      </c>
      <c r="BX1060" t="s">
        <v>2206</v>
      </c>
      <c r="BY1060" t="s">
        <v>291</v>
      </c>
      <c r="BZ1060" t="s">
        <v>302</v>
      </c>
      <c r="CA1060" t="s">
        <v>3479</v>
      </c>
      <c r="CB1060" t="s">
        <v>302</v>
      </c>
      <c r="CC1060">
        <v>179</v>
      </c>
      <c r="CD1060">
        <v>0.44</v>
      </c>
      <c r="CE1060">
        <v>32.89</v>
      </c>
      <c r="CF1060">
        <v>5968</v>
      </c>
      <c r="CG1060">
        <v>3000</v>
      </c>
      <c r="CH1060">
        <v>92</v>
      </c>
      <c r="CI1060">
        <v>2193</v>
      </c>
      <c r="CJ1060">
        <v>1003</v>
      </c>
      <c r="CK1060">
        <v>30000</v>
      </c>
      <c r="CL1060" t="s">
        <v>291</v>
      </c>
      <c r="CM1060" t="s">
        <v>291</v>
      </c>
      <c r="CN1060" t="s">
        <v>2156</v>
      </c>
      <c r="CO1060" s="1">
        <v>43069</v>
      </c>
      <c r="CP1060" s="1">
        <v>43595</v>
      </c>
    </row>
    <row r="1061" spans="1:94" x14ac:dyDescent="0.25">
      <c r="A1061" s="4" t="s">
        <v>3484</v>
      </c>
      <c r="B1061" t="str">
        <f xml:space="preserve"> "" &amp; 706411056390</f>
        <v>706411056390</v>
      </c>
      <c r="C1061" t="s">
        <v>2482</v>
      </c>
      <c r="D1061" t="s">
        <v>3485</v>
      </c>
      <c r="E1061" t="s">
        <v>3486</v>
      </c>
      <c r="F1061" t="s">
        <v>2113</v>
      </c>
      <c r="G1061">
        <v>1</v>
      </c>
      <c r="H1061">
        <v>1</v>
      </c>
      <c r="I1061" t="s">
        <v>97</v>
      </c>
      <c r="J1061" s="32">
        <v>299.95</v>
      </c>
      <c r="K1061" s="32">
        <v>899.85</v>
      </c>
      <c r="L1061">
        <v>0</v>
      </c>
      <c r="N1061">
        <v>0</v>
      </c>
      <c r="Q1061" t="s">
        <v>291</v>
      </c>
      <c r="R1061" s="32">
        <v>599.95000000000005</v>
      </c>
      <c r="S1061">
        <v>20.5</v>
      </c>
      <c r="T1061">
        <v>56</v>
      </c>
      <c r="U1061">
        <v>56</v>
      </c>
      <c r="W1061">
        <v>16.559999999999999</v>
      </c>
      <c r="X1061">
        <v>1</v>
      </c>
      <c r="Y1061">
        <v>11.25</v>
      </c>
      <c r="Z1061">
        <v>26.75</v>
      </c>
      <c r="AA1061">
        <v>12</v>
      </c>
      <c r="AB1061">
        <v>2.09</v>
      </c>
      <c r="AC1061">
        <v>19.97</v>
      </c>
      <c r="AE1061">
        <v>3</v>
      </c>
      <c r="AF1061" t="s">
        <v>3487</v>
      </c>
      <c r="AG1061">
        <v>6</v>
      </c>
      <c r="AK1061" t="s">
        <v>291</v>
      </c>
      <c r="AM1061" t="s">
        <v>98</v>
      </c>
      <c r="AN1061" t="s">
        <v>291</v>
      </c>
      <c r="AO1061" t="s">
        <v>98</v>
      </c>
      <c r="AP1061" t="s">
        <v>99</v>
      </c>
      <c r="AQ1061" t="s">
        <v>102</v>
      </c>
      <c r="AV1061" t="s">
        <v>98</v>
      </c>
      <c r="AX1061" t="s">
        <v>150</v>
      </c>
      <c r="AZ1061" t="s">
        <v>535</v>
      </c>
      <c r="BF1061" t="s">
        <v>3488</v>
      </c>
      <c r="BG1061" t="s">
        <v>98</v>
      </c>
      <c r="BH1061" t="s">
        <v>98</v>
      </c>
      <c r="BI1061" t="s">
        <v>98</v>
      </c>
      <c r="BK1061" t="s">
        <v>138</v>
      </c>
      <c r="BU1061">
        <v>6</v>
      </c>
      <c r="BW1061">
        <v>0.75</v>
      </c>
      <c r="BX1061">
        <v>14</v>
      </c>
      <c r="BY1061" t="s">
        <v>291</v>
      </c>
      <c r="BZ1061" t="s">
        <v>2463</v>
      </c>
      <c r="CA1061" t="s">
        <v>3489</v>
      </c>
      <c r="CB1061" t="s">
        <v>150</v>
      </c>
      <c r="CC1061">
        <v>144</v>
      </c>
      <c r="CD1061">
        <v>0.45</v>
      </c>
      <c r="CE1061">
        <v>32.56</v>
      </c>
      <c r="CF1061">
        <v>7045</v>
      </c>
      <c r="CG1061">
        <v>2700</v>
      </c>
      <c r="CH1061">
        <v>90</v>
      </c>
      <c r="CI1061">
        <v>1586.4</v>
      </c>
      <c r="CJ1061">
        <v>1301.4000000000001</v>
      </c>
      <c r="CK1061">
        <v>30000</v>
      </c>
      <c r="CL1061" t="s">
        <v>291</v>
      </c>
      <c r="CM1061" t="s">
        <v>291</v>
      </c>
      <c r="CN1061" t="s">
        <v>3490</v>
      </c>
      <c r="CO1061" s="1">
        <v>42752</v>
      </c>
      <c r="CP1061" s="1">
        <v>43595</v>
      </c>
    </row>
    <row r="1062" spans="1:94" x14ac:dyDescent="0.25">
      <c r="A1062" s="4" t="s">
        <v>3491</v>
      </c>
      <c r="B1062" t="str">
        <f xml:space="preserve"> "" &amp; 706411056383</f>
        <v>706411056383</v>
      </c>
      <c r="C1062" t="s">
        <v>2482</v>
      </c>
      <c r="D1062" t="s">
        <v>3485</v>
      </c>
      <c r="E1062" t="s">
        <v>3486</v>
      </c>
      <c r="F1062" t="s">
        <v>2113</v>
      </c>
      <c r="G1062">
        <v>1</v>
      </c>
      <c r="H1062">
        <v>1</v>
      </c>
      <c r="I1062" t="s">
        <v>97</v>
      </c>
      <c r="J1062" s="32">
        <v>299.95</v>
      </c>
      <c r="K1062" s="32">
        <v>899.85</v>
      </c>
      <c r="L1062">
        <v>0</v>
      </c>
      <c r="N1062">
        <v>0</v>
      </c>
      <c r="Q1062" t="s">
        <v>291</v>
      </c>
      <c r="R1062" s="32">
        <v>599.95000000000005</v>
      </c>
      <c r="S1062">
        <v>20.5</v>
      </c>
      <c r="T1062">
        <v>56</v>
      </c>
      <c r="U1062">
        <v>56</v>
      </c>
      <c r="W1062">
        <v>16.559999999999999</v>
      </c>
      <c r="X1062">
        <v>1</v>
      </c>
      <c r="Y1062">
        <v>11.25</v>
      </c>
      <c r="Z1062">
        <v>26.75</v>
      </c>
      <c r="AA1062">
        <v>12</v>
      </c>
      <c r="AB1062">
        <v>2.09</v>
      </c>
      <c r="AC1062">
        <v>19.97</v>
      </c>
      <c r="AE1062">
        <v>3</v>
      </c>
      <c r="AF1062" t="s">
        <v>3487</v>
      </c>
      <c r="AG1062">
        <v>6</v>
      </c>
      <c r="AK1062" t="s">
        <v>291</v>
      </c>
      <c r="AM1062" t="s">
        <v>98</v>
      </c>
      <c r="AN1062" t="s">
        <v>291</v>
      </c>
      <c r="AO1062" t="s">
        <v>98</v>
      </c>
      <c r="AP1062" t="s">
        <v>99</v>
      </c>
      <c r="AQ1062" t="s">
        <v>102</v>
      </c>
      <c r="AV1062" t="s">
        <v>98</v>
      </c>
      <c r="AX1062" t="s">
        <v>209</v>
      </c>
      <c r="AZ1062" t="s">
        <v>535</v>
      </c>
      <c r="BF1062" t="s">
        <v>3492</v>
      </c>
      <c r="BG1062" t="s">
        <v>98</v>
      </c>
      <c r="BH1062" t="s">
        <v>98</v>
      </c>
      <c r="BI1062" t="s">
        <v>98</v>
      </c>
      <c r="BK1062" t="s">
        <v>138</v>
      </c>
      <c r="BU1062">
        <v>6</v>
      </c>
      <c r="BW1062">
        <v>0.75</v>
      </c>
      <c r="BX1062">
        <v>14</v>
      </c>
      <c r="BY1062" t="s">
        <v>291</v>
      </c>
      <c r="BZ1062" t="s">
        <v>2466</v>
      </c>
      <c r="CA1062" t="s">
        <v>3489</v>
      </c>
      <c r="CB1062" t="s">
        <v>209</v>
      </c>
      <c r="CC1062">
        <v>144</v>
      </c>
      <c r="CD1062">
        <v>0.45</v>
      </c>
      <c r="CE1062">
        <v>32.56</v>
      </c>
      <c r="CF1062">
        <v>7045</v>
      </c>
      <c r="CG1062">
        <v>2700</v>
      </c>
      <c r="CH1062">
        <v>90</v>
      </c>
      <c r="CI1062">
        <v>1586.4</v>
      </c>
      <c r="CJ1062">
        <v>1301.4000000000001</v>
      </c>
      <c r="CK1062">
        <v>30000</v>
      </c>
      <c r="CL1062" t="s">
        <v>291</v>
      </c>
      <c r="CM1062" t="s">
        <v>291</v>
      </c>
      <c r="CN1062" t="s">
        <v>3490</v>
      </c>
      <c r="CO1062" s="1">
        <v>42748</v>
      </c>
      <c r="CP1062" s="1">
        <v>43595</v>
      </c>
    </row>
    <row r="1063" spans="1:94" x14ac:dyDescent="0.25">
      <c r="A1063" s="4" t="s">
        <v>3493</v>
      </c>
      <c r="B1063" t="str">
        <f xml:space="preserve"> "" &amp; 706411056376</f>
        <v>706411056376</v>
      </c>
      <c r="C1063" t="s">
        <v>2482</v>
      </c>
      <c r="D1063" t="s">
        <v>3485</v>
      </c>
      <c r="E1063" t="s">
        <v>3486</v>
      </c>
      <c r="F1063" t="s">
        <v>2113</v>
      </c>
      <c r="G1063">
        <v>1</v>
      </c>
      <c r="H1063">
        <v>1</v>
      </c>
      <c r="I1063" t="s">
        <v>97</v>
      </c>
      <c r="J1063" s="32">
        <v>299.95</v>
      </c>
      <c r="K1063" s="32">
        <v>899.85</v>
      </c>
      <c r="L1063">
        <v>0</v>
      </c>
      <c r="N1063">
        <v>0</v>
      </c>
      <c r="Q1063" t="s">
        <v>291</v>
      </c>
      <c r="R1063" s="32">
        <v>599.95000000000005</v>
      </c>
      <c r="S1063">
        <v>20.5</v>
      </c>
      <c r="T1063">
        <v>56</v>
      </c>
      <c r="U1063">
        <v>56</v>
      </c>
      <c r="W1063">
        <v>16.559999999999999</v>
      </c>
      <c r="X1063">
        <v>1</v>
      </c>
      <c r="Y1063">
        <v>11.25</v>
      </c>
      <c r="Z1063">
        <v>26.75</v>
      </c>
      <c r="AA1063">
        <v>12</v>
      </c>
      <c r="AB1063">
        <v>2.09</v>
      </c>
      <c r="AC1063">
        <v>19.97</v>
      </c>
      <c r="AE1063">
        <v>3</v>
      </c>
      <c r="AF1063" t="s">
        <v>3494</v>
      </c>
      <c r="AG1063">
        <v>6</v>
      </c>
      <c r="AK1063" t="s">
        <v>291</v>
      </c>
      <c r="AM1063" t="s">
        <v>98</v>
      </c>
      <c r="AN1063" t="s">
        <v>291</v>
      </c>
      <c r="AO1063" t="s">
        <v>98</v>
      </c>
      <c r="AP1063" t="s">
        <v>99</v>
      </c>
      <c r="AQ1063" t="s">
        <v>102</v>
      </c>
      <c r="AV1063" t="s">
        <v>98</v>
      </c>
      <c r="AX1063" t="s">
        <v>940</v>
      </c>
      <c r="AZ1063" t="s">
        <v>535</v>
      </c>
      <c r="BF1063" t="s">
        <v>3495</v>
      </c>
      <c r="BG1063" t="s">
        <v>98</v>
      </c>
      <c r="BH1063" t="s">
        <v>98</v>
      </c>
      <c r="BI1063" t="s">
        <v>98</v>
      </c>
      <c r="BK1063" t="s">
        <v>138</v>
      </c>
      <c r="BU1063">
        <v>6</v>
      </c>
      <c r="BW1063">
        <v>0.75</v>
      </c>
      <c r="BX1063">
        <v>14</v>
      </c>
      <c r="BY1063" t="s">
        <v>291</v>
      </c>
      <c r="BZ1063" t="s">
        <v>2466</v>
      </c>
      <c r="CA1063" t="s">
        <v>3489</v>
      </c>
      <c r="CB1063" t="s">
        <v>940</v>
      </c>
      <c r="CC1063">
        <v>144</v>
      </c>
      <c r="CD1063">
        <v>0.45</v>
      </c>
      <c r="CE1063">
        <v>32.56</v>
      </c>
      <c r="CF1063">
        <v>7045</v>
      </c>
      <c r="CG1063">
        <v>2700</v>
      </c>
      <c r="CH1063">
        <v>90</v>
      </c>
      <c r="CI1063">
        <v>1586.4</v>
      </c>
      <c r="CJ1063">
        <v>1301.4000000000001</v>
      </c>
      <c r="CK1063">
        <v>30000</v>
      </c>
      <c r="CL1063" t="s">
        <v>291</v>
      </c>
      <c r="CM1063" t="s">
        <v>291</v>
      </c>
      <c r="CN1063" t="s">
        <v>3490</v>
      </c>
      <c r="CO1063" s="1">
        <v>42748</v>
      </c>
      <c r="CP1063" s="1">
        <v>43595</v>
      </c>
    </row>
    <row r="1064" spans="1:94" x14ac:dyDescent="0.25">
      <c r="A1064" s="4" t="s">
        <v>3496</v>
      </c>
      <c r="B1064" t="str">
        <f xml:space="preserve"> "" &amp; 706411061943</f>
        <v>706411061943</v>
      </c>
      <c r="C1064" t="s">
        <v>3497</v>
      </c>
      <c r="D1064" t="s">
        <v>3498</v>
      </c>
      <c r="E1064" t="s">
        <v>3499</v>
      </c>
      <c r="F1064" t="s">
        <v>2113</v>
      </c>
      <c r="G1064">
        <v>1</v>
      </c>
      <c r="H1064">
        <v>1</v>
      </c>
      <c r="I1064" t="s">
        <v>97</v>
      </c>
      <c r="J1064" s="32">
        <v>289.95</v>
      </c>
      <c r="K1064" s="32">
        <v>869.85</v>
      </c>
      <c r="L1064">
        <v>0</v>
      </c>
      <c r="N1064">
        <v>0</v>
      </c>
      <c r="Q1064" t="s">
        <v>291</v>
      </c>
      <c r="R1064" s="32">
        <v>579.95000000000005</v>
      </c>
      <c r="S1064">
        <v>11.5</v>
      </c>
      <c r="T1064">
        <v>60</v>
      </c>
      <c r="U1064">
        <v>60</v>
      </c>
      <c r="W1064">
        <v>15.7</v>
      </c>
      <c r="X1064">
        <v>1</v>
      </c>
      <c r="Y1064">
        <v>9.3800000000000008</v>
      </c>
      <c r="Z1064">
        <v>32.25</v>
      </c>
      <c r="AA1064">
        <v>16.13</v>
      </c>
      <c r="AB1064">
        <v>2.8239999999999998</v>
      </c>
      <c r="AC1064">
        <v>20.239999999999998</v>
      </c>
      <c r="AK1064" t="s">
        <v>98</v>
      </c>
      <c r="AM1064" t="s">
        <v>98</v>
      </c>
      <c r="AN1064" t="s">
        <v>291</v>
      </c>
      <c r="AO1064" t="s">
        <v>98</v>
      </c>
      <c r="AP1064" t="s">
        <v>99</v>
      </c>
      <c r="AQ1064" t="s">
        <v>102</v>
      </c>
      <c r="AV1064" t="s">
        <v>98</v>
      </c>
      <c r="AX1064" t="s">
        <v>3500</v>
      </c>
      <c r="AZ1064" t="s">
        <v>2149</v>
      </c>
      <c r="BF1064" t="s">
        <v>3501</v>
      </c>
      <c r="BG1064" t="s">
        <v>98</v>
      </c>
      <c r="BH1064" t="s">
        <v>98</v>
      </c>
      <c r="BI1064" t="s">
        <v>98</v>
      </c>
      <c r="BK1064" t="s">
        <v>138</v>
      </c>
      <c r="BU1064">
        <v>6</v>
      </c>
      <c r="BW1064">
        <v>0.75</v>
      </c>
      <c r="BX1064" t="s">
        <v>3212</v>
      </c>
      <c r="BZ1064" t="s">
        <v>3502</v>
      </c>
      <c r="CA1064" t="s">
        <v>3503</v>
      </c>
      <c r="CB1064" t="s">
        <v>3500</v>
      </c>
      <c r="CC1064">
        <v>118</v>
      </c>
      <c r="CD1064">
        <v>0.45200000000000001</v>
      </c>
      <c r="CE1064">
        <v>26.67</v>
      </c>
      <c r="CF1064">
        <v>5094</v>
      </c>
      <c r="CL1064" t="s">
        <v>98</v>
      </c>
      <c r="CM1064" t="s">
        <v>291</v>
      </c>
      <c r="CO1064" s="1">
        <v>43563</v>
      </c>
      <c r="CP1064" s="1">
        <v>43595</v>
      </c>
    </row>
    <row r="1065" spans="1:94" x14ac:dyDescent="0.25">
      <c r="A1065" s="4" t="s">
        <v>3504</v>
      </c>
      <c r="B1065" t="str">
        <f xml:space="preserve"> "" &amp; 706411060786</f>
        <v>706411060786</v>
      </c>
      <c r="C1065" t="s">
        <v>3497</v>
      </c>
      <c r="D1065" t="s">
        <v>3498</v>
      </c>
      <c r="E1065" t="s">
        <v>3499</v>
      </c>
      <c r="F1065" t="s">
        <v>2113</v>
      </c>
      <c r="G1065">
        <v>1</v>
      </c>
      <c r="H1065">
        <v>1</v>
      </c>
      <c r="I1065" t="s">
        <v>97</v>
      </c>
      <c r="J1065" s="32">
        <v>289.95</v>
      </c>
      <c r="K1065" s="32">
        <v>869.85</v>
      </c>
      <c r="L1065">
        <v>0</v>
      </c>
      <c r="N1065">
        <v>0</v>
      </c>
      <c r="Q1065" t="s">
        <v>291</v>
      </c>
      <c r="R1065" s="32">
        <v>579.95000000000005</v>
      </c>
      <c r="S1065">
        <v>11.5</v>
      </c>
      <c r="T1065">
        <v>60</v>
      </c>
      <c r="U1065">
        <v>60</v>
      </c>
      <c r="W1065">
        <v>15.7</v>
      </c>
      <c r="X1065">
        <v>1</v>
      </c>
      <c r="Y1065">
        <v>9.3800000000000008</v>
      </c>
      <c r="Z1065">
        <v>32.25</v>
      </c>
      <c r="AA1065">
        <v>16.13</v>
      </c>
      <c r="AB1065">
        <v>2.8239999999999998</v>
      </c>
      <c r="AC1065">
        <v>20.239999999999998</v>
      </c>
      <c r="AK1065" t="s">
        <v>98</v>
      </c>
      <c r="AM1065" t="s">
        <v>98</v>
      </c>
      <c r="AN1065" t="s">
        <v>291</v>
      </c>
      <c r="AO1065" t="s">
        <v>98</v>
      </c>
      <c r="AP1065" t="s">
        <v>99</v>
      </c>
      <c r="AQ1065" t="s">
        <v>102</v>
      </c>
      <c r="AV1065" t="s">
        <v>98</v>
      </c>
      <c r="AX1065" t="s">
        <v>3505</v>
      </c>
      <c r="AZ1065" t="s">
        <v>535</v>
      </c>
      <c r="BF1065" t="s">
        <v>3506</v>
      </c>
      <c r="BG1065" t="s">
        <v>98</v>
      </c>
      <c r="BH1065" t="s">
        <v>98</v>
      </c>
      <c r="BI1065" t="s">
        <v>98</v>
      </c>
      <c r="BK1065" t="s">
        <v>138</v>
      </c>
      <c r="BU1065">
        <v>6</v>
      </c>
      <c r="BW1065">
        <v>0.75</v>
      </c>
      <c r="BX1065" t="s">
        <v>3212</v>
      </c>
      <c r="BZ1065" t="s">
        <v>179</v>
      </c>
      <c r="CA1065" t="s">
        <v>3503</v>
      </c>
      <c r="CB1065" t="s">
        <v>3505</v>
      </c>
      <c r="CC1065">
        <v>125</v>
      </c>
      <c r="CD1065">
        <v>0.45700000000000002</v>
      </c>
      <c r="CE1065">
        <v>29</v>
      </c>
      <c r="CF1065">
        <v>5159</v>
      </c>
      <c r="CL1065" t="s">
        <v>98</v>
      </c>
      <c r="CM1065" t="s">
        <v>291</v>
      </c>
      <c r="CN1065" t="s">
        <v>2228</v>
      </c>
      <c r="CO1065" s="1">
        <v>43257</v>
      </c>
      <c r="CP1065" s="1">
        <v>43595</v>
      </c>
    </row>
    <row r="1066" spans="1:94" x14ac:dyDescent="0.25">
      <c r="A1066" s="4" t="s">
        <v>3507</v>
      </c>
      <c r="B1066" t="str">
        <f xml:space="preserve"> "" &amp; 706411044427</f>
        <v>706411044427</v>
      </c>
      <c r="C1066" t="s">
        <v>3497</v>
      </c>
      <c r="D1066" t="s">
        <v>3498</v>
      </c>
      <c r="E1066" t="s">
        <v>3499</v>
      </c>
      <c r="F1066" t="s">
        <v>2113</v>
      </c>
      <c r="G1066">
        <v>1</v>
      </c>
      <c r="H1066">
        <v>1</v>
      </c>
      <c r="I1066" t="s">
        <v>97</v>
      </c>
      <c r="J1066" s="32">
        <v>289.95</v>
      </c>
      <c r="K1066" s="32">
        <v>869.85</v>
      </c>
      <c r="L1066">
        <v>0</v>
      </c>
      <c r="N1066">
        <v>0</v>
      </c>
      <c r="Q1066" t="s">
        <v>291</v>
      </c>
      <c r="R1066" s="32">
        <v>579.95000000000005</v>
      </c>
      <c r="S1066">
        <v>11.5</v>
      </c>
      <c r="T1066">
        <v>60</v>
      </c>
      <c r="U1066">
        <v>60</v>
      </c>
      <c r="W1066">
        <v>15.7</v>
      </c>
      <c r="X1066">
        <v>1</v>
      </c>
      <c r="Y1066">
        <v>9.3800000000000008</v>
      </c>
      <c r="Z1066">
        <v>32.25</v>
      </c>
      <c r="AA1066">
        <v>16.13</v>
      </c>
      <c r="AB1066">
        <v>2.8239999999999998</v>
      </c>
      <c r="AC1066">
        <v>20.239999999999998</v>
      </c>
      <c r="AK1066" t="s">
        <v>98</v>
      </c>
      <c r="AM1066" t="s">
        <v>98</v>
      </c>
      <c r="AN1066" t="s">
        <v>291</v>
      </c>
      <c r="AO1066" t="s">
        <v>98</v>
      </c>
      <c r="AP1066" t="s">
        <v>99</v>
      </c>
      <c r="AQ1066" t="s">
        <v>102</v>
      </c>
      <c r="AV1066" t="s">
        <v>98</v>
      </c>
      <c r="AX1066" t="s">
        <v>3508</v>
      </c>
      <c r="AZ1066" t="s">
        <v>2180</v>
      </c>
      <c r="BC1066" t="s">
        <v>485</v>
      </c>
      <c r="BF1066" t="s">
        <v>3509</v>
      </c>
      <c r="BG1066" t="s">
        <v>98</v>
      </c>
      <c r="BH1066" t="s">
        <v>98</v>
      </c>
      <c r="BI1066" t="s">
        <v>98</v>
      </c>
      <c r="BK1066" t="s">
        <v>138</v>
      </c>
      <c r="BU1066">
        <v>6</v>
      </c>
      <c r="BW1066">
        <v>0.75</v>
      </c>
      <c r="BX1066" t="s">
        <v>3212</v>
      </c>
      <c r="BZ1066" t="s">
        <v>703</v>
      </c>
      <c r="CA1066" t="s">
        <v>3503</v>
      </c>
      <c r="CB1066" t="s">
        <v>3508</v>
      </c>
      <c r="CC1066">
        <v>117</v>
      </c>
      <c r="CD1066">
        <v>0.42</v>
      </c>
      <c r="CE1066">
        <v>25.92</v>
      </c>
      <c r="CF1066">
        <v>6604.29</v>
      </c>
      <c r="CL1066" t="s">
        <v>98</v>
      </c>
      <c r="CM1066" t="s">
        <v>291</v>
      </c>
      <c r="CN1066" t="s">
        <v>2156</v>
      </c>
      <c r="CO1066" s="1">
        <v>41345</v>
      </c>
      <c r="CP1066" s="1">
        <v>43595</v>
      </c>
    </row>
    <row r="1067" spans="1:94" x14ac:dyDescent="0.25">
      <c r="A1067" s="4" t="s">
        <v>3510</v>
      </c>
      <c r="B1067" t="str">
        <f xml:space="preserve"> "" &amp; 706411044397</f>
        <v>706411044397</v>
      </c>
      <c r="C1067" t="s">
        <v>3497</v>
      </c>
      <c r="D1067" t="s">
        <v>3498</v>
      </c>
      <c r="E1067" t="s">
        <v>3499</v>
      </c>
      <c r="F1067" t="s">
        <v>2113</v>
      </c>
      <c r="G1067">
        <v>1</v>
      </c>
      <c r="H1067">
        <v>1</v>
      </c>
      <c r="I1067" t="s">
        <v>97</v>
      </c>
      <c r="J1067" s="32">
        <v>289.95</v>
      </c>
      <c r="K1067" s="32">
        <v>869.85</v>
      </c>
      <c r="L1067">
        <v>0</v>
      </c>
      <c r="N1067">
        <v>0</v>
      </c>
      <c r="Q1067" t="s">
        <v>291</v>
      </c>
      <c r="R1067" s="32">
        <v>579.95000000000005</v>
      </c>
      <c r="S1067">
        <v>11.5</v>
      </c>
      <c r="T1067">
        <v>60</v>
      </c>
      <c r="U1067">
        <v>60</v>
      </c>
      <c r="W1067">
        <v>15.7</v>
      </c>
      <c r="X1067">
        <v>1</v>
      </c>
      <c r="Y1067">
        <v>9.3800000000000008</v>
      </c>
      <c r="Z1067">
        <v>32.25</v>
      </c>
      <c r="AA1067">
        <v>16.13</v>
      </c>
      <c r="AB1067">
        <v>2.8239999999999998</v>
      </c>
      <c r="AC1067">
        <v>20.239999999999998</v>
      </c>
      <c r="AK1067" t="s">
        <v>98</v>
      </c>
      <c r="AM1067" t="s">
        <v>98</v>
      </c>
      <c r="AN1067" t="s">
        <v>291</v>
      </c>
      <c r="AO1067" t="s">
        <v>98</v>
      </c>
      <c r="AP1067" t="s">
        <v>99</v>
      </c>
      <c r="AQ1067" t="s">
        <v>102</v>
      </c>
      <c r="AV1067" t="s">
        <v>98</v>
      </c>
      <c r="AX1067" t="s">
        <v>3118</v>
      </c>
      <c r="AZ1067" t="s">
        <v>2180</v>
      </c>
      <c r="BC1067" t="s">
        <v>485</v>
      </c>
      <c r="BF1067" t="s">
        <v>3511</v>
      </c>
      <c r="BG1067" t="s">
        <v>98</v>
      </c>
      <c r="BH1067" t="s">
        <v>98</v>
      </c>
      <c r="BI1067" t="s">
        <v>98</v>
      </c>
      <c r="BK1067" t="s">
        <v>138</v>
      </c>
      <c r="BU1067">
        <v>6</v>
      </c>
      <c r="BW1067">
        <v>0.75</v>
      </c>
      <c r="BX1067" t="s">
        <v>3212</v>
      </c>
      <c r="BZ1067" t="s">
        <v>2159</v>
      </c>
      <c r="CA1067" t="s">
        <v>3503</v>
      </c>
      <c r="CB1067" t="s">
        <v>3118</v>
      </c>
      <c r="CC1067">
        <v>117</v>
      </c>
      <c r="CD1067">
        <v>0.42</v>
      </c>
      <c r="CE1067">
        <v>25.92</v>
      </c>
      <c r="CF1067">
        <v>6604.29</v>
      </c>
      <c r="CL1067" t="s">
        <v>98</v>
      </c>
      <c r="CM1067" t="s">
        <v>291</v>
      </c>
      <c r="CO1067" s="1">
        <v>41464</v>
      </c>
      <c r="CP1067" s="1">
        <v>43595</v>
      </c>
    </row>
    <row r="1068" spans="1:94" x14ac:dyDescent="0.25">
      <c r="A1068" s="4" t="s">
        <v>3512</v>
      </c>
      <c r="B1068" t="str">
        <f xml:space="preserve"> "" &amp; 706411044403</f>
        <v>706411044403</v>
      </c>
      <c r="C1068" t="s">
        <v>3497</v>
      </c>
      <c r="D1068" t="s">
        <v>3498</v>
      </c>
      <c r="E1068" t="s">
        <v>3499</v>
      </c>
      <c r="F1068" t="s">
        <v>2113</v>
      </c>
      <c r="G1068">
        <v>1</v>
      </c>
      <c r="H1068">
        <v>1</v>
      </c>
      <c r="I1068" t="s">
        <v>97</v>
      </c>
      <c r="J1068" s="32">
        <v>289.95</v>
      </c>
      <c r="K1068" s="32">
        <v>869.85</v>
      </c>
      <c r="L1068">
        <v>0</v>
      </c>
      <c r="N1068">
        <v>0</v>
      </c>
      <c r="Q1068" t="s">
        <v>291</v>
      </c>
      <c r="R1068" s="32">
        <v>579.95000000000005</v>
      </c>
      <c r="S1068">
        <v>11.5</v>
      </c>
      <c r="T1068">
        <v>60</v>
      </c>
      <c r="U1068">
        <v>60</v>
      </c>
      <c r="W1068">
        <v>15.7</v>
      </c>
      <c r="X1068">
        <v>1</v>
      </c>
      <c r="Y1068">
        <v>9.3800000000000008</v>
      </c>
      <c r="Z1068">
        <v>32.25</v>
      </c>
      <c r="AA1068">
        <v>16.13</v>
      </c>
      <c r="AB1068">
        <v>2.8239999999999998</v>
      </c>
      <c r="AC1068">
        <v>20.239999999999998</v>
      </c>
      <c r="AK1068" t="s">
        <v>98</v>
      </c>
      <c r="AM1068" t="s">
        <v>98</v>
      </c>
      <c r="AN1068" t="s">
        <v>291</v>
      </c>
      <c r="AO1068" t="s">
        <v>98</v>
      </c>
      <c r="AP1068" t="s">
        <v>99</v>
      </c>
      <c r="AQ1068" t="s">
        <v>102</v>
      </c>
      <c r="AV1068" t="s">
        <v>98</v>
      </c>
      <c r="AX1068" t="s">
        <v>2129</v>
      </c>
      <c r="AZ1068" t="s">
        <v>2180</v>
      </c>
      <c r="BC1068" t="s">
        <v>485</v>
      </c>
      <c r="BF1068" t="s">
        <v>3513</v>
      </c>
      <c r="BG1068" t="s">
        <v>98</v>
      </c>
      <c r="BH1068" t="s">
        <v>98</v>
      </c>
      <c r="BI1068" t="s">
        <v>98</v>
      </c>
      <c r="BK1068" t="s">
        <v>138</v>
      </c>
      <c r="BU1068">
        <v>6</v>
      </c>
      <c r="BW1068">
        <v>0.75</v>
      </c>
      <c r="BX1068" t="s">
        <v>3212</v>
      </c>
      <c r="BZ1068" t="s">
        <v>441</v>
      </c>
      <c r="CA1068" t="s">
        <v>3503</v>
      </c>
      <c r="CB1068" t="s">
        <v>2129</v>
      </c>
      <c r="CC1068">
        <v>117</v>
      </c>
      <c r="CD1068">
        <v>0.42</v>
      </c>
      <c r="CE1068">
        <v>25.92</v>
      </c>
      <c r="CF1068">
        <v>6604.29</v>
      </c>
      <c r="CL1068" t="s">
        <v>98</v>
      </c>
      <c r="CM1068" t="s">
        <v>291</v>
      </c>
      <c r="CO1068" s="1">
        <v>41464</v>
      </c>
      <c r="CP1068" s="1">
        <v>43595</v>
      </c>
    </row>
    <row r="1069" spans="1:94" x14ac:dyDescent="0.25">
      <c r="A1069" s="4" t="s">
        <v>3518</v>
      </c>
      <c r="B1069" t="str">
        <f xml:space="preserve"> "" &amp; 706411056604</f>
        <v>706411056604</v>
      </c>
      <c r="C1069" t="s">
        <v>3497</v>
      </c>
      <c r="D1069" t="s">
        <v>3519</v>
      </c>
      <c r="E1069" t="s">
        <v>3520</v>
      </c>
      <c r="F1069" t="s">
        <v>2113</v>
      </c>
      <c r="G1069">
        <v>1</v>
      </c>
      <c r="H1069">
        <v>1</v>
      </c>
      <c r="I1069" t="s">
        <v>97</v>
      </c>
      <c r="J1069" s="32">
        <v>309.95</v>
      </c>
      <c r="K1069" s="32">
        <v>929.85</v>
      </c>
      <c r="L1069">
        <v>0</v>
      </c>
      <c r="N1069">
        <v>0</v>
      </c>
      <c r="Q1069" t="s">
        <v>291</v>
      </c>
      <c r="R1069" s="32">
        <v>619.95000000000005</v>
      </c>
      <c r="S1069">
        <v>15.25</v>
      </c>
      <c r="T1069">
        <v>60</v>
      </c>
      <c r="U1069">
        <v>60</v>
      </c>
      <c r="W1069">
        <v>16.12</v>
      </c>
      <c r="X1069">
        <v>1</v>
      </c>
      <c r="Y1069">
        <v>9.3800000000000008</v>
      </c>
      <c r="Z1069">
        <v>32.25</v>
      </c>
      <c r="AA1069">
        <v>16.13</v>
      </c>
      <c r="AB1069">
        <v>2.8239999999999998</v>
      </c>
      <c r="AC1069">
        <v>20.48</v>
      </c>
      <c r="AE1069">
        <v>1</v>
      </c>
      <c r="AF1069" t="s">
        <v>3445</v>
      </c>
      <c r="AG1069">
        <v>15</v>
      </c>
      <c r="AK1069" t="s">
        <v>291</v>
      </c>
      <c r="AM1069" t="s">
        <v>98</v>
      </c>
      <c r="AN1069" t="s">
        <v>291</v>
      </c>
      <c r="AO1069" t="s">
        <v>98</v>
      </c>
      <c r="AP1069" t="s">
        <v>99</v>
      </c>
      <c r="AQ1069" t="s">
        <v>102</v>
      </c>
      <c r="AV1069" t="s">
        <v>98</v>
      </c>
      <c r="AX1069" t="s">
        <v>150</v>
      </c>
      <c r="AZ1069" t="s">
        <v>535</v>
      </c>
      <c r="BB1069" t="s">
        <v>3185</v>
      </c>
      <c r="BC1069" t="s">
        <v>3189</v>
      </c>
      <c r="BF1069" t="s">
        <v>3521</v>
      </c>
      <c r="BG1069" t="s">
        <v>98</v>
      </c>
      <c r="BH1069" t="s">
        <v>98</v>
      </c>
      <c r="BI1069" t="s">
        <v>98</v>
      </c>
      <c r="BK1069" t="s">
        <v>138</v>
      </c>
      <c r="BU1069">
        <v>6</v>
      </c>
      <c r="BW1069">
        <v>0.75</v>
      </c>
      <c r="BX1069" t="s">
        <v>3212</v>
      </c>
      <c r="BY1069" t="s">
        <v>291</v>
      </c>
      <c r="BZ1069" t="s">
        <v>3502</v>
      </c>
      <c r="CA1069" t="s">
        <v>3522</v>
      </c>
      <c r="CB1069" t="s">
        <v>150</v>
      </c>
      <c r="CC1069">
        <v>125</v>
      </c>
      <c r="CD1069">
        <v>0.45700000000000002</v>
      </c>
      <c r="CE1069">
        <v>29</v>
      </c>
      <c r="CF1069">
        <v>5159</v>
      </c>
      <c r="CG1069">
        <v>3000</v>
      </c>
      <c r="CH1069">
        <v>83</v>
      </c>
      <c r="CI1069">
        <v>1219.9000000000001</v>
      </c>
      <c r="CJ1069">
        <v>912.7</v>
      </c>
      <c r="CK1069">
        <v>30000</v>
      </c>
      <c r="CL1069" t="s">
        <v>291</v>
      </c>
      <c r="CM1069" t="s">
        <v>291</v>
      </c>
      <c r="CN1069" t="s">
        <v>2228</v>
      </c>
      <c r="CO1069" s="1">
        <v>42747</v>
      </c>
      <c r="CP1069" s="1">
        <v>43595</v>
      </c>
    </row>
    <row r="1070" spans="1:94" x14ac:dyDescent="0.25">
      <c r="A1070" s="4" t="s">
        <v>3523</v>
      </c>
      <c r="B1070" t="str">
        <f xml:space="preserve"> "" &amp; 706411060779</f>
        <v>706411060779</v>
      </c>
      <c r="C1070" t="s">
        <v>2818</v>
      </c>
      <c r="D1070" t="s">
        <v>3519</v>
      </c>
      <c r="E1070" t="s">
        <v>3520</v>
      </c>
      <c r="F1070" t="s">
        <v>2113</v>
      </c>
      <c r="G1070">
        <v>1</v>
      </c>
      <c r="H1070">
        <v>1</v>
      </c>
      <c r="I1070" t="s">
        <v>97</v>
      </c>
      <c r="J1070" s="32">
        <v>309.95</v>
      </c>
      <c r="K1070" s="32">
        <v>929.85</v>
      </c>
      <c r="L1070">
        <v>0</v>
      </c>
      <c r="N1070">
        <v>0</v>
      </c>
      <c r="Q1070" t="s">
        <v>291</v>
      </c>
      <c r="R1070" s="32">
        <v>619.95000000000005</v>
      </c>
      <c r="S1070">
        <v>15.25</v>
      </c>
      <c r="T1070">
        <v>60</v>
      </c>
      <c r="U1070">
        <v>60</v>
      </c>
      <c r="W1070">
        <v>16.12</v>
      </c>
      <c r="X1070">
        <v>1</v>
      </c>
      <c r="Y1070">
        <v>9.3800000000000008</v>
      </c>
      <c r="Z1070">
        <v>32.25</v>
      </c>
      <c r="AA1070">
        <v>16.13</v>
      </c>
      <c r="AB1070">
        <v>2.8239999999999998</v>
      </c>
      <c r="AC1070">
        <v>20.48</v>
      </c>
      <c r="AE1070">
        <v>1</v>
      </c>
      <c r="AF1070" t="s">
        <v>3445</v>
      </c>
      <c r="AG1070">
        <v>15</v>
      </c>
      <c r="AK1070" t="s">
        <v>291</v>
      </c>
      <c r="AM1070" t="s">
        <v>98</v>
      </c>
      <c r="AN1070" t="s">
        <v>291</v>
      </c>
      <c r="AO1070" t="s">
        <v>98</v>
      </c>
      <c r="AP1070" t="s">
        <v>99</v>
      </c>
      <c r="AQ1070" t="s">
        <v>102</v>
      </c>
      <c r="AV1070" t="s">
        <v>98</v>
      </c>
      <c r="AX1070" t="s">
        <v>3505</v>
      </c>
      <c r="AZ1070" t="s">
        <v>535</v>
      </c>
      <c r="BB1070" t="s">
        <v>3185</v>
      </c>
      <c r="BC1070" t="s">
        <v>3189</v>
      </c>
      <c r="BF1070" t="s">
        <v>3524</v>
      </c>
      <c r="BG1070" t="s">
        <v>98</v>
      </c>
      <c r="BH1070" t="s">
        <v>98</v>
      </c>
      <c r="BI1070" t="s">
        <v>98</v>
      </c>
      <c r="BK1070" t="s">
        <v>138</v>
      </c>
      <c r="BU1070">
        <v>6</v>
      </c>
      <c r="BW1070">
        <v>0.75</v>
      </c>
      <c r="BX1070" t="s">
        <v>3212</v>
      </c>
      <c r="BY1070" t="s">
        <v>291</v>
      </c>
      <c r="BZ1070" t="s">
        <v>179</v>
      </c>
      <c r="CA1070" t="s">
        <v>3522</v>
      </c>
      <c r="CB1070" t="s">
        <v>3505</v>
      </c>
      <c r="CC1070">
        <v>125</v>
      </c>
      <c r="CD1070">
        <v>0.45700000000000002</v>
      </c>
      <c r="CE1070">
        <v>29</v>
      </c>
      <c r="CF1070">
        <v>5159</v>
      </c>
      <c r="CG1070">
        <v>3000</v>
      </c>
      <c r="CH1070">
        <v>83</v>
      </c>
      <c r="CI1070">
        <v>1219.9000000000001</v>
      </c>
      <c r="CJ1070">
        <v>912.7</v>
      </c>
      <c r="CK1070">
        <v>30000</v>
      </c>
      <c r="CL1070" t="s">
        <v>291</v>
      </c>
      <c r="CM1070" t="s">
        <v>291</v>
      </c>
      <c r="CN1070" t="s">
        <v>2228</v>
      </c>
      <c r="CO1070" s="1">
        <v>43257</v>
      </c>
      <c r="CP1070" s="1">
        <v>43595</v>
      </c>
    </row>
    <row r="1071" spans="1:94" x14ac:dyDescent="0.25">
      <c r="A1071" s="4" t="s">
        <v>3525</v>
      </c>
      <c r="B1071" t="str">
        <f xml:space="preserve"> "" &amp; 706411055645</f>
        <v>706411055645</v>
      </c>
      <c r="C1071" t="s">
        <v>2818</v>
      </c>
      <c r="D1071" t="s">
        <v>3519</v>
      </c>
      <c r="E1071" t="s">
        <v>3520</v>
      </c>
      <c r="F1071" t="s">
        <v>2113</v>
      </c>
      <c r="G1071">
        <v>1</v>
      </c>
      <c r="H1071">
        <v>1</v>
      </c>
      <c r="I1071" t="s">
        <v>97</v>
      </c>
      <c r="J1071" s="32">
        <v>309.95</v>
      </c>
      <c r="K1071" s="32">
        <v>929.85</v>
      </c>
      <c r="L1071">
        <v>0</v>
      </c>
      <c r="N1071">
        <v>0</v>
      </c>
      <c r="Q1071" t="s">
        <v>291</v>
      </c>
      <c r="R1071" s="32">
        <v>619.95000000000005</v>
      </c>
      <c r="S1071">
        <v>15.25</v>
      </c>
      <c r="T1071">
        <v>60</v>
      </c>
      <c r="U1071">
        <v>60</v>
      </c>
      <c r="W1071">
        <v>16.12</v>
      </c>
      <c r="X1071">
        <v>1</v>
      </c>
      <c r="Y1071">
        <v>9.3800000000000008</v>
      </c>
      <c r="Z1071">
        <v>32.25</v>
      </c>
      <c r="AA1071">
        <v>16.13</v>
      </c>
      <c r="AB1071">
        <v>2.8239999999999998</v>
      </c>
      <c r="AC1071">
        <v>20.48</v>
      </c>
      <c r="AE1071">
        <v>1</v>
      </c>
      <c r="AF1071" t="s">
        <v>3445</v>
      </c>
      <c r="AG1071">
        <v>15</v>
      </c>
      <c r="AK1071" t="s">
        <v>291</v>
      </c>
      <c r="AM1071" t="s">
        <v>98</v>
      </c>
      <c r="AN1071" t="s">
        <v>291</v>
      </c>
      <c r="AO1071" t="s">
        <v>98</v>
      </c>
      <c r="AP1071" t="s">
        <v>99</v>
      </c>
      <c r="AQ1071" t="s">
        <v>102</v>
      </c>
      <c r="AV1071" t="s">
        <v>98</v>
      </c>
      <c r="AX1071" t="s">
        <v>3526</v>
      </c>
      <c r="AZ1071" t="s">
        <v>535</v>
      </c>
      <c r="BB1071" t="s">
        <v>3185</v>
      </c>
      <c r="BC1071" t="s">
        <v>3189</v>
      </c>
      <c r="BF1071" t="s">
        <v>3527</v>
      </c>
      <c r="BG1071" t="s">
        <v>98</v>
      </c>
      <c r="BH1071" t="s">
        <v>98</v>
      </c>
      <c r="BI1071" t="s">
        <v>98</v>
      </c>
      <c r="BK1071" t="s">
        <v>138</v>
      </c>
      <c r="BU1071">
        <v>6</v>
      </c>
      <c r="BW1071">
        <v>0.75</v>
      </c>
      <c r="BX1071" t="s">
        <v>3212</v>
      </c>
      <c r="BY1071" t="s">
        <v>291</v>
      </c>
      <c r="BZ1071" t="s">
        <v>703</v>
      </c>
      <c r="CA1071" t="s">
        <v>3522</v>
      </c>
      <c r="CB1071" t="s">
        <v>3526</v>
      </c>
      <c r="CC1071">
        <v>125</v>
      </c>
      <c r="CD1071">
        <v>0.45700000000000002</v>
      </c>
      <c r="CE1071">
        <v>29</v>
      </c>
      <c r="CF1071">
        <v>5159</v>
      </c>
      <c r="CG1071">
        <v>3000</v>
      </c>
      <c r="CH1071">
        <v>83</v>
      </c>
      <c r="CI1071">
        <v>1219.9000000000001</v>
      </c>
      <c r="CJ1071">
        <v>912.7</v>
      </c>
      <c r="CK1071">
        <v>30000</v>
      </c>
      <c r="CL1071" t="s">
        <v>291</v>
      </c>
      <c r="CM1071" t="s">
        <v>291</v>
      </c>
      <c r="CN1071" t="s">
        <v>2228</v>
      </c>
      <c r="CO1071" s="1">
        <v>42733</v>
      </c>
      <c r="CP1071" s="1">
        <v>43595</v>
      </c>
    </row>
    <row r="1072" spans="1:94" x14ac:dyDescent="0.25">
      <c r="A1072" s="4" t="s">
        <v>3528</v>
      </c>
      <c r="B1072" t="str">
        <f xml:space="preserve"> "" &amp; 706411055676</f>
        <v>706411055676</v>
      </c>
      <c r="C1072" t="s">
        <v>2818</v>
      </c>
      <c r="D1072" t="s">
        <v>3519</v>
      </c>
      <c r="E1072" t="s">
        <v>3520</v>
      </c>
      <c r="F1072" t="s">
        <v>2113</v>
      </c>
      <c r="G1072">
        <v>1</v>
      </c>
      <c r="H1072">
        <v>1</v>
      </c>
      <c r="I1072" t="s">
        <v>97</v>
      </c>
      <c r="J1072" s="32">
        <v>309.95</v>
      </c>
      <c r="K1072" s="32">
        <v>929.85</v>
      </c>
      <c r="L1072">
        <v>0</v>
      </c>
      <c r="N1072">
        <v>0</v>
      </c>
      <c r="Q1072" t="s">
        <v>291</v>
      </c>
      <c r="R1072" s="32">
        <v>619.95000000000005</v>
      </c>
      <c r="S1072">
        <v>15.25</v>
      </c>
      <c r="T1072">
        <v>60</v>
      </c>
      <c r="U1072">
        <v>60</v>
      </c>
      <c r="W1072">
        <v>16.12</v>
      </c>
      <c r="X1072">
        <v>1</v>
      </c>
      <c r="Y1072">
        <v>9.3800000000000008</v>
      </c>
      <c r="Z1072">
        <v>32.25</v>
      </c>
      <c r="AA1072">
        <v>16.13</v>
      </c>
      <c r="AB1072">
        <v>2.8239999999999998</v>
      </c>
      <c r="AC1072">
        <v>20.48</v>
      </c>
      <c r="AE1072">
        <v>1</v>
      </c>
      <c r="AF1072" t="s">
        <v>3445</v>
      </c>
      <c r="AG1072">
        <v>15</v>
      </c>
      <c r="AK1072" t="s">
        <v>291</v>
      </c>
      <c r="AM1072" t="s">
        <v>98</v>
      </c>
      <c r="AN1072" t="s">
        <v>291</v>
      </c>
      <c r="AO1072" t="s">
        <v>98</v>
      </c>
      <c r="AP1072" t="s">
        <v>99</v>
      </c>
      <c r="AQ1072" t="s">
        <v>102</v>
      </c>
      <c r="AV1072" t="s">
        <v>98</v>
      </c>
      <c r="AX1072" t="s">
        <v>3118</v>
      </c>
      <c r="AZ1072" t="s">
        <v>535</v>
      </c>
      <c r="BB1072" t="s">
        <v>3185</v>
      </c>
      <c r="BC1072" t="s">
        <v>302</v>
      </c>
      <c r="BF1072" t="s">
        <v>3529</v>
      </c>
      <c r="BG1072" t="s">
        <v>98</v>
      </c>
      <c r="BH1072" t="s">
        <v>98</v>
      </c>
      <c r="BI1072" t="s">
        <v>98</v>
      </c>
      <c r="BK1072" t="s">
        <v>138</v>
      </c>
      <c r="BU1072">
        <v>6</v>
      </c>
      <c r="BW1072">
        <v>0.75</v>
      </c>
      <c r="BX1072" t="s">
        <v>3212</v>
      </c>
      <c r="BY1072" t="s">
        <v>291</v>
      </c>
      <c r="BZ1072" t="s">
        <v>2159</v>
      </c>
      <c r="CA1072" t="s">
        <v>3522</v>
      </c>
      <c r="CB1072" t="s">
        <v>3118</v>
      </c>
      <c r="CC1072">
        <v>125</v>
      </c>
      <c r="CD1072">
        <v>0.45700000000000002</v>
      </c>
      <c r="CE1072">
        <v>29</v>
      </c>
      <c r="CF1072">
        <v>5159</v>
      </c>
      <c r="CG1072">
        <v>3000</v>
      </c>
      <c r="CH1072">
        <v>83</v>
      </c>
      <c r="CI1072">
        <v>1219.9000000000001</v>
      </c>
      <c r="CJ1072">
        <v>912.7</v>
      </c>
      <c r="CK1072">
        <v>30000</v>
      </c>
      <c r="CL1072" t="s">
        <v>291</v>
      </c>
      <c r="CM1072" t="s">
        <v>291</v>
      </c>
      <c r="CN1072" t="s">
        <v>2228</v>
      </c>
      <c r="CO1072" s="1">
        <v>42733</v>
      </c>
      <c r="CP1072" s="1">
        <v>43595</v>
      </c>
    </row>
    <row r="1073" spans="1:94" x14ac:dyDescent="0.25">
      <c r="A1073" s="4" t="s">
        <v>3530</v>
      </c>
      <c r="B1073" t="str">
        <f xml:space="preserve"> "" &amp; 706411055683</f>
        <v>706411055683</v>
      </c>
      <c r="C1073" t="s">
        <v>3376</v>
      </c>
      <c r="D1073" t="s">
        <v>3519</v>
      </c>
      <c r="E1073" t="s">
        <v>3520</v>
      </c>
      <c r="F1073" t="s">
        <v>2113</v>
      </c>
      <c r="G1073">
        <v>1</v>
      </c>
      <c r="H1073">
        <v>1</v>
      </c>
      <c r="I1073" t="s">
        <v>97</v>
      </c>
      <c r="J1073" s="32">
        <v>309.95</v>
      </c>
      <c r="K1073" s="32">
        <v>929.85</v>
      </c>
      <c r="L1073">
        <v>0</v>
      </c>
      <c r="N1073">
        <v>0</v>
      </c>
      <c r="Q1073" t="s">
        <v>291</v>
      </c>
      <c r="R1073" s="32">
        <v>619.95000000000005</v>
      </c>
      <c r="S1073">
        <v>15.25</v>
      </c>
      <c r="T1073">
        <v>60</v>
      </c>
      <c r="U1073">
        <v>60</v>
      </c>
      <c r="W1073">
        <v>16.12</v>
      </c>
      <c r="X1073">
        <v>1</v>
      </c>
      <c r="Y1073">
        <v>9.3800000000000008</v>
      </c>
      <c r="Z1073">
        <v>32.25</v>
      </c>
      <c r="AA1073">
        <v>16.13</v>
      </c>
      <c r="AB1073">
        <v>2.8239999999999998</v>
      </c>
      <c r="AC1073">
        <v>9.2799999999999994</v>
      </c>
      <c r="AE1073">
        <v>1</v>
      </c>
      <c r="AF1073" t="s">
        <v>2141</v>
      </c>
      <c r="AG1073">
        <v>15</v>
      </c>
      <c r="AK1073" t="s">
        <v>291</v>
      </c>
      <c r="AM1073" t="s">
        <v>98</v>
      </c>
      <c r="AN1073" t="s">
        <v>291</v>
      </c>
      <c r="AO1073" t="s">
        <v>98</v>
      </c>
      <c r="AP1073" t="s">
        <v>99</v>
      </c>
      <c r="AQ1073" t="s">
        <v>102</v>
      </c>
      <c r="AV1073" t="s">
        <v>98</v>
      </c>
      <c r="AX1073" t="s">
        <v>2129</v>
      </c>
      <c r="AZ1073" t="s">
        <v>535</v>
      </c>
      <c r="BB1073" t="s">
        <v>3531</v>
      </c>
      <c r="BC1073" t="s">
        <v>3189</v>
      </c>
      <c r="BF1073" t="s">
        <v>3532</v>
      </c>
      <c r="BG1073" t="s">
        <v>98</v>
      </c>
      <c r="BH1073" t="s">
        <v>98</v>
      </c>
      <c r="BI1073" t="s">
        <v>98</v>
      </c>
      <c r="BK1073" t="s">
        <v>138</v>
      </c>
      <c r="BU1073">
        <v>6</v>
      </c>
      <c r="BW1073">
        <v>0.75</v>
      </c>
      <c r="BX1073" t="s">
        <v>3212</v>
      </c>
      <c r="BY1073" t="s">
        <v>291</v>
      </c>
      <c r="BZ1073" t="s">
        <v>441</v>
      </c>
      <c r="CA1073" t="s">
        <v>3522</v>
      </c>
      <c r="CB1073" t="s">
        <v>2129</v>
      </c>
      <c r="CC1073">
        <v>125</v>
      </c>
      <c r="CD1073">
        <v>0.45700000000000002</v>
      </c>
      <c r="CE1073">
        <v>29</v>
      </c>
      <c r="CF1073">
        <v>5159</v>
      </c>
      <c r="CG1073">
        <v>3000</v>
      </c>
      <c r="CH1073">
        <v>83</v>
      </c>
      <c r="CI1073">
        <v>1220</v>
      </c>
      <c r="CJ1073">
        <v>913</v>
      </c>
      <c r="CK1073">
        <v>30000</v>
      </c>
      <c r="CL1073" t="s">
        <v>291</v>
      </c>
      <c r="CM1073" t="s">
        <v>291</v>
      </c>
      <c r="CN1073" t="s">
        <v>2228</v>
      </c>
      <c r="CO1073" s="1">
        <v>42734</v>
      </c>
      <c r="CP1073" s="1">
        <v>43595</v>
      </c>
    </row>
    <row r="1074" spans="1:94" x14ac:dyDescent="0.25">
      <c r="A1074" s="4" t="s">
        <v>3533</v>
      </c>
      <c r="B1074" t="str">
        <f xml:space="preserve"> "" &amp; 706411774713</f>
        <v>706411774713</v>
      </c>
      <c r="C1074" t="s">
        <v>2818</v>
      </c>
      <c r="D1074" t="s">
        <v>3519</v>
      </c>
      <c r="E1074" t="s">
        <v>3520</v>
      </c>
      <c r="F1074" t="s">
        <v>2113</v>
      </c>
      <c r="G1074">
        <v>1</v>
      </c>
      <c r="H1074">
        <v>1</v>
      </c>
      <c r="I1074" t="s">
        <v>97</v>
      </c>
      <c r="J1074" s="32">
        <v>309.95</v>
      </c>
      <c r="K1074" s="32">
        <v>929.85</v>
      </c>
      <c r="L1074">
        <v>0</v>
      </c>
      <c r="N1074">
        <v>0</v>
      </c>
      <c r="Q1074" t="s">
        <v>291</v>
      </c>
      <c r="R1074" s="32">
        <v>619.95000000000005</v>
      </c>
      <c r="S1074">
        <v>15.25</v>
      </c>
      <c r="T1074">
        <v>60</v>
      </c>
      <c r="U1074">
        <v>60</v>
      </c>
      <c r="W1074">
        <v>16.12</v>
      </c>
      <c r="X1074">
        <v>1</v>
      </c>
      <c r="Y1074">
        <v>9.3800000000000008</v>
      </c>
      <c r="Z1074">
        <v>32.25</v>
      </c>
      <c r="AA1074">
        <v>16.13</v>
      </c>
      <c r="AB1074">
        <v>2.8239999999999998</v>
      </c>
      <c r="AC1074">
        <v>20.48</v>
      </c>
      <c r="AE1074">
        <v>1</v>
      </c>
      <c r="AF1074" t="s">
        <v>3445</v>
      </c>
      <c r="AG1074">
        <v>15</v>
      </c>
      <c r="AK1074" t="s">
        <v>291</v>
      </c>
      <c r="AM1074" t="s">
        <v>98</v>
      </c>
      <c r="AN1074" t="s">
        <v>291</v>
      </c>
      <c r="AO1074" t="s">
        <v>98</v>
      </c>
      <c r="AP1074" t="s">
        <v>99</v>
      </c>
      <c r="AQ1074" t="s">
        <v>102</v>
      </c>
      <c r="AV1074" t="s">
        <v>98</v>
      </c>
      <c r="AX1074" t="s">
        <v>3357</v>
      </c>
      <c r="AZ1074" t="s">
        <v>535</v>
      </c>
      <c r="BB1074" t="s">
        <v>3185</v>
      </c>
      <c r="BC1074" t="s">
        <v>3189</v>
      </c>
      <c r="BF1074" t="s">
        <v>3534</v>
      </c>
      <c r="BG1074" t="s">
        <v>98</v>
      </c>
      <c r="BH1074" t="s">
        <v>98</v>
      </c>
      <c r="BI1074" t="s">
        <v>98</v>
      </c>
      <c r="BK1074" t="s">
        <v>138</v>
      </c>
      <c r="BU1074">
        <v>6</v>
      </c>
      <c r="BW1074">
        <v>0.75</v>
      </c>
      <c r="BX1074" t="s">
        <v>3212</v>
      </c>
      <c r="BY1074" t="s">
        <v>291</v>
      </c>
      <c r="BZ1074" t="s">
        <v>302</v>
      </c>
      <c r="CA1074" t="s">
        <v>3522</v>
      </c>
      <c r="CB1074" t="s">
        <v>3357</v>
      </c>
      <c r="CC1074">
        <v>125</v>
      </c>
      <c r="CD1074">
        <v>0.45700000000000002</v>
      </c>
      <c r="CE1074">
        <v>29</v>
      </c>
      <c r="CF1074">
        <v>5159</v>
      </c>
      <c r="CG1074">
        <v>3000</v>
      </c>
      <c r="CH1074">
        <v>83</v>
      </c>
      <c r="CI1074">
        <v>1219.9000000000001</v>
      </c>
      <c r="CJ1074">
        <v>912.7</v>
      </c>
      <c r="CK1074">
        <v>30000</v>
      </c>
      <c r="CL1074" t="s">
        <v>291</v>
      </c>
      <c r="CM1074" t="s">
        <v>291</v>
      </c>
      <c r="CN1074" t="s">
        <v>2228</v>
      </c>
      <c r="CO1074" s="1">
        <v>42734</v>
      </c>
      <c r="CP1074" s="1">
        <v>43595</v>
      </c>
    </row>
    <row r="1075" spans="1:94" x14ac:dyDescent="0.25">
      <c r="A1075" s="4" t="s">
        <v>3514</v>
      </c>
      <c r="B1075" t="str">
        <f xml:space="preserve"> "" &amp; 706411044410</f>
        <v>706411044410</v>
      </c>
      <c r="C1075" t="s">
        <v>3497</v>
      </c>
      <c r="D1075" t="s">
        <v>3498</v>
      </c>
      <c r="E1075" t="s">
        <v>3499</v>
      </c>
      <c r="F1075" t="s">
        <v>2113</v>
      </c>
      <c r="G1075">
        <v>1</v>
      </c>
      <c r="H1075">
        <v>1</v>
      </c>
      <c r="I1075" t="s">
        <v>97</v>
      </c>
      <c r="J1075" s="32">
        <v>289.95</v>
      </c>
      <c r="K1075" s="32">
        <v>869.85</v>
      </c>
      <c r="L1075">
        <v>0</v>
      </c>
      <c r="N1075">
        <v>0</v>
      </c>
      <c r="Q1075" t="s">
        <v>291</v>
      </c>
      <c r="R1075" s="32">
        <v>579.95000000000005</v>
      </c>
      <c r="S1075">
        <v>11.5</v>
      </c>
      <c r="T1075">
        <v>60</v>
      </c>
      <c r="U1075">
        <v>60</v>
      </c>
      <c r="W1075">
        <v>15.7</v>
      </c>
      <c r="X1075">
        <v>1</v>
      </c>
      <c r="Y1075">
        <v>9.3800000000000008</v>
      </c>
      <c r="Z1075">
        <v>32.25</v>
      </c>
      <c r="AA1075">
        <v>16.13</v>
      </c>
      <c r="AB1075">
        <v>2.8239999999999998</v>
      </c>
      <c r="AC1075">
        <v>20.239999999999998</v>
      </c>
      <c r="AK1075" t="s">
        <v>98</v>
      </c>
      <c r="AM1075" t="s">
        <v>98</v>
      </c>
      <c r="AN1075" t="s">
        <v>291</v>
      </c>
      <c r="AO1075" t="s">
        <v>98</v>
      </c>
      <c r="AP1075" t="s">
        <v>99</v>
      </c>
      <c r="AQ1075" t="s">
        <v>102</v>
      </c>
      <c r="AV1075" t="s">
        <v>98</v>
      </c>
      <c r="AX1075" t="s">
        <v>430</v>
      </c>
      <c r="AZ1075" t="s">
        <v>2180</v>
      </c>
      <c r="BC1075" t="s">
        <v>485</v>
      </c>
      <c r="BF1075" t="s">
        <v>3515</v>
      </c>
      <c r="BG1075" t="s">
        <v>98</v>
      </c>
      <c r="BH1075" t="s">
        <v>98</v>
      </c>
      <c r="BI1075" t="s">
        <v>98</v>
      </c>
      <c r="BK1075" t="s">
        <v>138</v>
      </c>
      <c r="BU1075">
        <v>6</v>
      </c>
      <c r="BW1075">
        <v>0.75</v>
      </c>
      <c r="BX1075" t="s">
        <v>3212</v>
      </c>
      <c r="BZ1075" t="s">
        <v>430</v>
      </c>
      <c r="CA1075" t="s">
        <v>3503</v>
      </c>
      <c r="CB1075" t="s">
        <v>430</v>
      </c>
      <c r="CC1075">
        <v>117</v>
      </c>
      <c r="CD1075">
        <v>0.42</v>
      </c>
      <c r="CE1075">
        <v>25.92</v>
      </c>
      <c r="CF1075">
        <v>6604.29</v>
      </c>
      <c r="CL1075" t="s">
        <v>98</v>
      </c>
      <c r="CM1075" t="s">
        <v>291</v>
      </c>
      <c r="CN1075" t="s">
        <v>3305</v>
      </c>
      <c r="CO1075" s="1">
        <v>41345</v>
      </c>
      <c r="CP1075" s="1">
        <v>43595</v>
      </c>
    </row>
    <row r="1076" spans="1:94" x14ac:dyDescent="0.25">
      <c r="A1076" s="4" t="s">
        <v>3516</v>
      </c>
      <c r="B1076" t="str">
        <f xml:space="preserve"> "" &amp; 706411044434</f>
        <v>706411044434</v>
      </c>
      <c r="C1076" t="s">
        <v>3497</v>
      </c>
      <c r="D1076" t="s">
        <v>3498</v>
      </c>
      <c r="E1076" t="s">
        <v>3499</v>
      </c>
      <c r="F1076" t="s">
        <v>2113</v>
      </c>
      <c r="G1076">
        <v>1</v>
      </c>
      <c r="H1076">
        <v>1</v>
      </c>
      <c r="I1076" t="s">
        <v>97</v>
      </c>
      <c r="J1076" s="32">
        <v>289.95</v>
      </c>
      <c r="K1076" s="32">
        <v>869.85</v>
      </c>
      <c r="L1076">
        <v>0</v>
      </c>
      <c r="N1076">
        <v>0</v>
      </c>
      <c r="Q1076" t="s">
        <v>291</v>
      </c>
      <c r="R1076" s="32">
        <v>579.95000000000005</v>
      </c>
      <c r="S1076">
        <v>11.5</v>
      </c>
      <c r="T1076">
        <v>60</v>
      </c>
      <c r="U1076">
        <v>60</v>
      </c>
      <c r="W1076">
        <v>15.7</v>
      </c>
      <c r="X1076">
        <v>1</v>
      </c>
      <c r="Y1076">
        <v>9.3800000000000008</v>
      </c>
      <c r="Z1076">
        <v>32.25</v>
      </c>
      <c r="AA1076">
        <v>16.13</v>
      </c>
      <c r="AB1076">
        <v>2.8239999999999998</v>
      </c>
      <c r="AC1076">
        <v>20.239999999999998</v>
      </c>
      <c r="AK1076" t="s">
        <v>98</v>
      </c>
      <c r="AM1076" t="s">
        <v>98</v>
      </c>
      <c r="AN1076" t="s">
        <v>291</v>
      </c>
      <c r="AO1076" t="s">
        <v>98</v>
      </c>
      <c r="AP1076" t="s">
        <v>99</v>
      </c>
      <c r="AQ1076" t="s">
        <v>102</v>
      </c>
      <c r="AV1076" t="s">
        <v>98</v>
      </c>
      <c r="AX1076" t="s">
        <v>302</v>
      </c>
      <c r="AZ1076" t="s">
        <v>2180</v>
      </c>
      <c r="BF1076" t="s">
        <v>3517</v>
      </c>
      <c r="BG1076" t="s">
        <v>98</v>
      </c>
      <c r="BH1076" t="s">
        <v>98</v>
      </c>
      <c r="BI1076" t="s">
        <v>98</v>
      </c>
      <c r="BK1076" t="s">
        <v>138</v>
      </c>
      <c r="BU1076">
        <v>6</v>
      </c>
      <c r="BW1076">
        <v>0.75</v>
      </c>
      <c r="BX1076" t="s">
        <v>3212</v>
      </c>
      <c r="BZ1076" t="s">
        <v>302</v>
      </c>
      <c r="CA1076" t="s">
        <v>3503</v>
      </c>
      <c r="CB1076" t="s">
        <v>302</v>
      </c>
      <c r="CC1076">
        <v>117</v>
      </c>
      <c r="CD1076">
        <v>0.42</v>
      </c>
      <c r="CE1076">
        <v>25.92</v>
      </c>
      <c r="CF1076">
        <v>6604.19</v>
      </c>
      <c r="CL1076" t="s">
        <v>98</v>
      </c>
      <c r="CM1076" t="s">
        <v>291</v>
      </c>
      <c r="CN1076" t="s">
        <v>2228</v>
      </c>
      <c r="CO1076" s="1">
        <v>41345</v>
      </c>
      <c r="CP1076" s="1">
        <v>43595</v>
      </c>
    </row>
    <row r="1077" spans="1:94" x14ac:dyDescent="0.25">
      <c r="A1077" t="s">
        <v>4525</v>
      </c>
      <c r="B1077" t="str">
        <f xml:space="preserve"> "" &amp; 706411061660</f>
        <v>706411061660</v>
      </c>
      <c r="C1077" t="s">
        <v>4526</v>
      </c>
      <c r="D1077" t="s">
        <v>4527</v>
      </c>
      <c r="E1077" t="s">
        <v>4528</v>
      </c>
      <c r="F1077" t="s">
        <v>2113</v>
      </c>
      <c r="G1077">
        <v>1</v>
      </c>
      <c r="H1077">
        <v>1</v>
      </c>
      <c r="I1077" t="s">
        <v>97</v>
      </c>
      <c r="J1077" s="32">
        <v>229.95</v>
      </c>
      <c r="K1077" s="32">
        <v>689.85</v>
      </c>
      <c r="Q1077" t="s">
        <v>291</v>
      </c>
      <c r="R1077" s="32">
        <v>449.95</v>
      </c>
      <c r="S1077">
        <v>21.5</v>
      </c>
      <c r="T1077">
        <v>65</v>
      </c>
      <c r="U1077">
        <v>65</v>
      </c>
      <c r="W1077">
        <v>32.409999999999997</v>
      </c>
      <c r="X1077">
        <v>1</v>
      </c>
      <c r="Y1077">
        <v>14</v>
      </c>
      <c r="Z1077">
        <v>29.13</v>
      </c>
      <c r="AA1077">
        <v>15</v>
      </c>
      <c r="AB1077">
        <v>3.54</v>
      </c>
      <c r="AC1077">
        <v>37.57</v>
      </c>
      <c r="AE1077">
        <v>1</v>
      </c>
      <c r="AF1077" t="s">
        <v>4529</v>
      </c>
      <c r="AG1077">
        <v>40</v>
      </c>
      <c r="AK1077" t="s">
        <v>291</v>
      </c>
      <c r="AM1077" t="s">
        <v>98</v>
      </c>
      <c r="AN1077" t="s">
        <v>291</v>
      </c>
      <c r="AO1077" t="s">
        <v>98</v>
      </c>
      <c r="AP1077" t="s">
        <v>99</v>
      </c>
      <c r="AQ1077" t="s">
        <v>102</v>
      </c>
      <c r="AV1077" t="s">
        <v>98</v>
      </c>
      <c r="AX1077" t="s">
        <v>2135</v>
      </c>
      <c r="AZ1077" t="s">
        <v>2149</v>
      </c>
      <c r="BF1077" t="s">
        <v>4530</v>
      </c>
      <c r="BG1077" t="s">
        <v>98</v>
      </c>
      <c r="BH1077" t="s">
        <v>98</v>
      </c>
      <c r="BI1077" t="s">
        <v>98</v>
      </c>
      <c r="BK1077" t="s">
        <v>138</v>
      </c>
      <c r="BU1077" t="s">
        <v>4531</v>
      </c>
      <c r="BW1077" t="s">
        <v>4532</v>
      </c>
      <c r="BX1077">
        <v>16</v>
      </c>
      <c r="BY1077" t="s">
        <v>291</v>
      </c>
      <c r="BZ1077" t="s">
        <v>2135</v>
      </c>
      <c r="CB1077" t="s">
        <v>2135</v>
      </c>
      <c r="CC1077">
        <v>125</v>
      </c>
      <c r="CD1077">
        <v>0.68</v>
      </c>
      <c r="CE1077">
        <v>50.06</v>
      </c>
      <c r="CF1077">
        <v>9187.52</v>
      </c>
      <c r="CG1077">
        <v>3000</v>
      </c>
      <c r="CH1077">
        <v>94</v>
      </c>
      <c r="CI1077">
        <v>3591</v>
      </c>
      <c r="CJ1077">
        <v>1984</v>
      </c>
      <c r="CK1077">
        <v>30000</v>
      </c>
      <c r="CL1077" t="s">
        <v>291</v>
      </c>
      <c r="CM1077" t="s">
        <v>291</v>
      </c>
      <c r="CN1077" t="s">
        <v>4533</v>
      </c>
      <c r="CO1077" s="1">
        <v>43635</v>
      </c>
      <c r="CP1077" s="1">
        <v>43672</v>
      </c>
    </row>
    <row r="1078" spans="1:94" x14ac:dyDescent="0.25">
      <c r="A1078" t="s">
        <v>4534</v>
      </c>
      <c r="B1078" t="str">
        <f xml:space="preserve"> "" &amp; 706411061677</f>
        <v>706411061677</v>
      </c>
      <c r="C1078" t="s">
        <v>4526</v>
      </c>
      <c r="D1078" t="s">
        <v>4527</v>
      </c>
      <c r="E1078" t="s">
        <v>4528</v>
      </c>
      <c r="F1078" t="s">
        <v>2113</v>
      </c>
      <c r="G1078">
        <v>1</v>
      </c>
      <c r="H1078">
        <v>1</v>
      </c>
      <c r="I1078" t="s">
        <v>97</v>
      </c>
      <c r="J1078" s="32">
        <v>229.95</v>
      </c>
      <c r="K1078" s="32">
        <v>689.85</v>
      </c>
      <c r="Q1078" t="s">
        <v>291</v>
      </c>
      <c r="R1078" s="32">
        <v>449.95</v>
      </c>
      <c r="S1078">
        <v>21.5</v>
      </c>
      <c r="T1078">
        <v>65</v>
      </c>
      <c r="U1078">
        <v>65</v>
      </c>
      <c r="W1078">
        <v>32.409999999999997</v>
      </c>
      <c r="X1078">
        <v>1</v>
      </c>
      <c r="Y1078">
        <v>14</v>
      </c>
      <c r="Z1078">
        <v>29.13</v>
      </c>
      <c r="AA1078">
        <v>15</v>
      </c>
      <c r="AB1078">
        <v>3.54</v>
      </c>
      <c r="AC1078">
        <v>37.57</v>
      </c>
      <c r="AE1078">
        <v>1</v>
      </c>
      <c r="AF1078" t="s">
        <v>4529</v>
      </c>
      <c r="AG1078">
        <v>40</v>
      </c>
      <c r="AK1078" t="s">
        <v>291</v>
      </c>
      <c r="AM1078" t="s">
        <v>98</v>
      </c>
      <c r="AN1078" t="s">
        <v>291</v>
      </c>
      <c r="AO1078" t="s">
        <v>98</v>
      </c>
      <c r="AP1078" t="s">
        <v>99</v>
      </c>
      <c r="AQ1078" t="s">
        <v>102</v>
      </c>
      <c r="AV1078" t="s">
        <v>98</v>
      </c>
      <c r="AX1078" t="s">
        <v>2138</v>
      </c>
      <c r="AZ1078" t="s">
        <v>2149</v>
      </c>
      <c r="BF1078" t="s">
        <v>4535</v>
      </c>
      <c r="BG1078" t="s">
        <v>98</v>
      </c>
      <c r="BH1078" t="s">
        <v>98</v>
      </c>
      <c r="BI1078" t="s">
        <v>98</v>
      </c>
      <c r="BK1078" t="s">
        <v>138</v>
      </c>
      <c r="BU1078" t="s">
        <v>4531</v>
      </c>
      <c r="BW1078" t="s">
        <v>4532</v>
      </c>
      <c r="BX1078">
        <v>16</v>
      </c>
      <c r="BY1078" t="s">
        <v>291</v>
      </c>
      <c r="BZ1078" t="s">
        <v>2138</v>
      </c>
      <c r="CB1078" t="s">
        <v>2138</v>
      </c>
      <c r="CC1078">
        <v>125</v>
      </c>
      <c r="CD1078">
        <v>0.68</v>
      </c>
      <c r="CE1078">
        <v>50.06</v>
      </c>
      <c r="CF1078">
        <v>9187.52</v>
      </c>
      <c r="CG1078">
        <v>3000</v>
      </c>
      <c r="CH1078">
        <v>94</v>
      </c>
      <c r="CI1078">
        <v>3591</v>
      </c>
      <c r="CJ1078">
        <v>1984</v>
      </c>
      <c r="CK1078">
        <v>30000</v>
      </c>
      <c r="CL1078" t="s">
        <v>291</v>
      </c>
      <c r="CM1078" t="s">
        <v>291</v>
      </c>
      <c r="CN1078" t="s">
        <v>4533</v>
      </c>
      <c r="CO1078" s="1">
        <v>43635</v>
      </c>
      <c r="CP1078" s="1">
        <v>43672</v>
      </c>
    </row>
    <row r="1079" spans="1:94" x14ac:dyDescent="0.25">
      <c r="A1079" s="4" t="s">
        <v>3535</v>
      </c>
      <c r="B1079" t="str">
        <f xml:space="preserve"> "" &amp; 706411061851</f>
        <v>706411061851</v>
      </c>
      <c r="C1079" t="s">
        <v>3536</v>
      </c>
      <c r="D1079" t="s">
        <v>3537</v>
      </c>
      <c r="E1079" t="s">
        <v>3538</v>
      </c>
      <c r="F1079" t="s">
        <v>2113</v>
      </c>
      <c r="G1079">
        <v>1</v>
      </c>
      <c r="H1079">
        <v>1</v>
      </c>
      <c r="I1079" t="s">
        <v>97</v>
      </c>
      <c r="J1079" s="32">
        <v>149.94999999999999</v>
      </c>
      <c r="K1079" s="32">
        <v>449.85</v>
      </c>
      <c r="L1079">
        <v>0</v>
      </c>
      <c r="N1079">
        <v>0</v>
      </c>
      <c r="Q1079" t="s">
        <v>291</v>
      </c>
      <c r="R1079" s="32">
        <v>299.95</v>
      </c>
      <c r="S1079">
        <v>12.95</v>
      </c>
      <c r="T1079">
        <v>60</v>
      </c>
      <c r="U1079">
        <v>60</v>
      </c>
      <c r="W1079">
        <v>12.32</v>
      </c>
      <c r="X1079">
        <v>1</v>
      </c>
      <c r="Y1079">
        <v>8.8800000000000008</v>
      </c>
      <c r="Z1079">
        <v>30</v>
      </c>
      <c r="AA1079">
        <v>10</v>
      </c>
      <c r="AB1079">
        <v>1.542</v>
      </c>
      <c r="AC1079">
        <v>14.9</v>
      </c>
      <c r="AE1079">
        <v>1</v>
      </c>
      <c r="AF1079" t="s">
        <v>3539</v>
      </c>
      <c r="AG1079">
        <v>16</v>
      </c>
      <c r="AK1079" t="s">
        <v>291</v>
      </c>
      <c r="AM1079" t="s">
        <v>98</v>
      </c>
      <c r="AN1079" t="s">
        <v>291</v>
      </c>
      <c r="AO1079" t="s">
        <v>98</v>
      </c>
      <c r="AP1079" t="s">
        <v>99</v>
      </c>
      <c r="AQ1079" t="s">
        <v>102</v>
      </c>
      <c r="AV1079" t="s">
        <v>98</v>
      </c>
      <c r="AX1079" t="s">
        <v>146</v>
      </c>
      <c r="AZ1079" t="s">
        <v>2149</v>
      </c>
      <c r="BF1079" t="s">
        <v>3540</v>
      </c>
      <c r="BG1079" t="s">
        <v>98</v>
      </c>
      <c r="BH1079" t="s">
        <v>98</v>
      </c>
      <c r="BI1079" t="s">
        <v>98</v>
      </c>
      <c r="BK1079" t="s">
        <v>138</v>
      </c>
      <c r="BU1079">
        <v>6</v>
      </c>
      <c r="BW1079" s="2">
        <v>43528</v>
      </c>
      <c r="BX1079">
        <v>12</v>
      </c>
      <c r="BY1079" t="s">
        <v>291</v>
      </c>
      <c r="BZ1079" t="s">
        <v>3541</v>
      </c>
      <c r="CB1079" t="s">
        <v>146</v>
      </c>
      <c r="CC1079">
        <v>185</v>
      </c>
      <c r="CD1079">
        <v>0.49</v>
      </c>
      <c r="CE1079">
        <v>31.08</v>
      </c>
      <c r="CF1079">
        <v>5655</v>
      </c>
      <c r="CG1079">
        <v>3000</v>
      </c>
      <c r="CH1079">
        <v>95</v>
      </c>
      <c r="CI1079">
        <v>1229</v>
      </c>
      <c r="CJ1079">
        <v>972</v>
      </c>
      <c r="CK1079">
        <v>30000</v>
      </c>
      <c r="CL1079" t="s">
        <v>98</v>
      </c>
      <c r="CM1079" t="s">
        <v>291</v>
      </c>
      <c r="CN1079" t="s">
        <v>3448</v>
      </c>
      <c r="CO1079" s="1">
        <v>43635</v>
      </c>
      <c r="CP1079" s="1">
        <v>43651</v>
      </c>
    </row>
    <row r="1080" spans="1:94" x14ac:dyDescent="0.25">
      <c r="A1080" s="4" t="s">
        <v>3542</v>
      </c>
      <c r="B1080" t="str">
        <f xml:space="preserve"> "" &amp; 706411061844</f>
        <v>706411061844</v>
      </c>
      <c r="C1080" t="s">
        <v>3543</v>
      </c>
      <c r="D1080" t="s">
        <v>3537</v>
      </c>
      <c r="E1080" t="s">
        <v>3538</v>
      </c>
      <c r="F1080" t="s">
        <v>2113</v>
      </c>
      <c r="G1080">
        <v>1</v>
      </c>
      <c r="H1080">
        <v>1</v>
      </c>
      <c r="I1080" t="s">
        <v>97</v>
      </c>
      <c r="J1080" s="32">
        <v>149.94999999999999</v>
      </c>
      <c r="K1080" s="32">
        <v>449.85</v>
      </c>
      <c r="L1080">
        <v>0</v>
      </c>
      <c r="N1080">
        <v>0</v>
      </c>
      <c r="Q1080" t="s">
        <v>291</v>
      </c>
      <c r="R1080" s="32">
        <v>299.95</v>
      </c>
      <c r="S1080">
        <v>12.95</v>
      </c>
      <c r="T1080">
        <v>60</v>
      </c>
      <c r="U1080">
        <v>60</v>
      </c>
      <c r="W1080">
        <v>12.32</v>
      </c>
      <c r="X1080">
        <v>1</v>
      </c>
      <c r="Y1080">
        <v>8.8800000000000008</v>
      </c>
      <c r="Z1080">
        <v>30</v>
      </c>
      <c r="AA1080">
        <v>10</v>
      </c>
      <c r="AB1080">
        <v>1.542</v>
      </c>
      <c r="AC1080">
        <v>14.9</v>
      </c>
      <c r="AE1080">
        <v>1</v>
      </c>
      <c r="AF1080" t="s">
        <v>3539</v>
      </c>
      <c r="AG1080">
        <v>16</v>
      </c>
      <c r="AK1080" t="s">
        <v>291</v>
      </c>
      <c r="AM1080" t="s">
        <v>98</v>
      </c>
      <c r="AN1080" t="s">
        <v>291</v>
      </c>
      <c r="AO1080" t="s">
        <v>98</v>
      </c>
      <c r="AP1080" t="s">
        <v>99</v>
      </c>
      <c r="AQ1080" t="s">
        <v>102</v>
      </c>
      <c r="AV1080" t="s">
        <v>98</v>
      </c>
      <c r="AX1080" t="s">
        <v>245</v>
      </c>
      <c r="AZ1080" t="s">
        <v>2149</v>
      </c>
      <c r="BF1080" t="s">
        <v>3544</v>
      </c>
      <c r="BG1080" t="s">
        <v>98</v>
      </c>
      <c r="BH1080" t="s">
        <v>98</v>
      </c>
      <c r="BI1080" t="s">
        <v>98</v>
      </c>
      <c r="BK1080" t="s">
        <v>138</v>
      </c>
      <c r="BU1080">
        <v>6</v>
      </c>
      <c r="BW1080" s="2">
        <v>43528</v>
      </c>
      <c r="BX1080">
        <v>12</v>
      </c>
      <c r="BY1080" t="s">
        <v>291</v>
      </c>
      <c r="BZ1080" t="s">
        <v>3541</v>
      </c>
      <c r="CB1080" t="s">
        <v>245</v>
      </c>
      <c r="CC1080">
        <v>185</v>
      </c>
      <c r="CD1080">
        <v>0.49</v>
      </c>
      <c r="CE1080">
        <v>31.08</v>
      </c>
      <c r="CF1080">
        <v>5655</v>
      </c>
      <c r="CG1080">
        <v>3000</v>
      </c>
      <c r="CH1080">
        <v>95</v>
      </c>
      <c r="CI1080">
        <v>1229</v>
      </c>
      <c r="CJ1080">
        <v>972</v>
      </c>
      <c r="CK1080">
        <v>30000</v>
      </c>
      <c r="CL1080" t="s">
        <v>98</v>
      </c>
      <c r="CM1080" t="s">
        <v>291</v>
      </c>
      <c r="CN1080" t="s">
        <v>3448</v>
      </c>
      <c r="CO1080" s="1">
        <v>43635</v>
      </c>
      <c r="CP1080" s="1">
        <v>43651</v>
      </c>
    </row>
    <row r="1081" spans="1:94" x14ac:dyDescent="0.25">
      <c r="A1081" s="4" t="s">
        <v>3545</v>
      </c>
      <c r="B1081" t="str">
        <f xml:space="preserve"> "" &amp; 706411061875</f>
        <v>706411061875</v>
      </c>
      <c r="C1081" t="s">
        <v>3543</v>
      </c>
      <c r="D1081" t="s">
        <v>3537</v>
      </c>
      <c r="E1081" t="s">
        <v>3538</v>
      </c>
      <c r="F1081" t="s">
        <v>2113</v>
      </c>
      <c r="G1081">
        <v>1</v>
      </c>
      <c r="H1081">
        <v>1</v>
      </c>
      <c r="I1081" t="s">
        <v>97</v>
      </c>
      <c r="J1081" s="32">
        <v>149.94999999999999</v>
      </c>
      <c r="K1081" s="32">
        <v>449.85</v>
      </c>
      <c r="L1081">
        <v>0</v>
      </c>
      <c r="N1081">
        <v>0</v>
      </c>
      <c r="Q1081" t="s">
        <v>291</v>
      </c>
      <c r="R1081" s="32">
        <v>299.95</v>
      </c>
      <c r="S1081">
        <v>12.95</v>
      </c>
      <c r="T1081">
        <v>60</v>
      </c>
      <c r="U1081">
        <v>60</v>
      </c>
      <c r="W1081">
        <v>12.32</v>
      </c>
      <c r="X1081">
        <v>1</v>
      </c>
      <c r="Y1081">
        <v>8.8800000000000008</v>
      </c>
      <c r="Z1081">
        <v>30</v>
      </c>
      <c r="AA1081">
        <v>10</v>
      </c>
      <c r="AB1081">
        <v>1.542</v>
      </c>
      <c r="AC1081">
        <v>14.9</v>
      </c>
      <c r="AE1081">
        <v>1</v>
      </c>
      <c r="AF1081" t="s">
        <v>3539</v>
      </c>
      <c r="AG1081">
        <v>16</v>
      </c>
      <c r="AK1081" t="s">
        <v>291</v>
      </c>
      <c r="AM1081" t="s">
        <v>98</v>
      </c>
      <c r="AN1081" t="s">
        <v>291</v>
      </c>
      <c r="AO1081" t="s">
        <v>98</v>
      </c>
      <c r="AP1081" t="s">
        <v>99</v>
      </c>
      <c r="AQ1081" t="s">
        <v>102</v>
      </c>
      <c r="AV1081" t="s">
        <v>98</v>
      </c>
      <c r="AX1081" t="s">
        <v>306</v>
      </c>
      <c r="AZ1081" t="s">
        <v>2149</v>
      </c>
      <c r="BF1081" t="s">
        <v>3546</v>
      </c>
      <c r="BG1081" t="s">
        <v>98</v>
      </c>
      <c r="BH1081" t="s">
        <v>98</v>
      </c>
      <c r="BI1081" t="s">
        <v>98</v>
      </c>
      <c r="BK1081" t="s">
        <v>138</v>
      </c>
      <c r="BU1081">
        <v>6</v>
      </c>
      <c r="BW1081" s="2">
        <v>43528</v>
      </c>
      <c r="BX1081">
        <v>12</v>
      </c>
      <c r="BY1081" t="s">
        <v>291</v>
      </c>
      <c r="BZ1081" t="s">
        <v>3547</v>
      </c>
      <c r="CB1081" t="s">
        <v>306</v>
      </c>
      <c r="CC1081">
        <v>185</v>
      </c>
      <c r="CD1081">
        <v>0.49</v>
      </c>
      <c r="CE1081">
        <v>31.08</v>
      </c>
      <c r="CF1081">
        <v>5655</v>
      </c>
      <c r="CG1081">
        <v>3000</v>
      </c>
      <c r="CH1081">
        <v>95</v>
      </c>
      <c r="CI1081">
        <v>1229</v>
      </c>
      <c r="CJ1081">
        <v>972</v>
      </c>
      <c r="CK1081">
        <v>30000</v>
      </c>
      <c r="CL1081" t="s">
        <v>291</v>
      </c>
      <c r="CM1081" t="s">
        <v>291</v>
      </c>
      <c r="CN1081" t="s">
        <v>3448</v>
      </c>
      <c r="CO1081" s="1">
        <v>43635</v>
      </c>
      <c r="CP1081" s="1">
        <v>43651</v>
      </c>
    </row>
    <row r="1082" spans="1:94" x14ac:dyDescent="0.25">
      <c r="A1082" s="4" t="s">
        <v>3548</v>
      </c>
      <c r="B1082" t="str">
        <f xml:space="preserve"> "" &amp; 706411061707</f>
        <v>706411061707</v>
      </c>
      <c r="C1082" t="s">
        <v>3549</v>
      </c>
      <c r="D1082" t="s">
        <v>3550</v>
      </c>
      <c r="E1082" t="s">
        <v>3551</v>
      </c>
      <c r="F1082" t="s">
        <v>2113</v>
      </c>
      <c r="G1082">
        <v>1</v>
      </c>
      <c r="H1082">
        <v>1</v>
      </c>
      <c r="I1082" t="s">
        <v>97</v>
      </c>
      <c r="J1082" s="32">
        <v>249.95</v>
      </c>
      <c r="K1082" s="32">
        <v>749.85</v>
      </c>
      <c r="L1082">
        <v>0</v>
      </c>
      <c r="N1082">
        <v>0</v>
      </c>
      <c r="Q1082" t="s">
        <v>291</v>
      </c>
      <c r="R1082" s="32">
        <v>499.95</v>
      </c>
      <c r="S1082">
        <v>14.75</v>
      </c>
      <c r="T1082">
        <v>65</v>
      </c>
      <c r="U1082">
        <v>65</v>
      </c>
      <c r="W1082">
        <v>25.51</v>
      </c>
      <c r="X1082">
        <v>1</v>
      </c>
      <c r="Y1082">
        <v>10.130000000000001</v>
      </c>
      <c r="Z1082">
        <v>29.38</v>
      </c>
      <c r="AA1082">
        <v>16.38</v>
      </c>
      <c r="AB1082">
        <v>2.8210000000000002</v>
      </c>
      <c r="AC1082">
        <v>29.72</v>
      </c>
      <c r="AE1082">
        <v>1</v>
      </c>
      <c r="AG1082">
        <v>40</v>
      </c>
      <c r="AK1082" t="s">
        <v>291</v>
      </c>
      <c r="AM1082" t="s">
        <v>98</v>
      </c>
      <c r="AN1082" t="s">
        <v>291</v>
      </c>
      <c r="AO1082" t="s">
        <v>98</v>
      </c>
      <c r="AP1082" t="s">
        <v>99</v>
      </c>
      <c r="AQ1082" t="s">
        <v>102</v>
      </c>
      <c r="AV1082" t="s">
        <v>98</v>
      </c>
      <c r="AX1082" t="s">
        <v>163</v>
      </c>
      <c r="AZ1082" t="s">
        <v>2149</v>
      </c>
      <c r="BB1082" t="s">
        <v>2244</v>
      </c>
      <c r="BF1082" t="s">
        <v>3552</v>
      </c>
      <c r="BG1082" t="s">
        <v>98</v>
      </c>
      <c r="BH1082" t="s">
        <v>98</v>
      </c>
      <c r="BI1082" t="s">
        <v>98</v>
      </c>
      <c r="BJ1082" t="s">
        <v>291</v>
      </c>
      <c r="BK1082" t="s">
        <v>292</v>
      </c>
      <c r="BU1082" t="s">
        <v>3553</v>
      </c>
      <c r="BW1082" t="s">
        <v>2856</v>
      </c>
      <c r="BX1082">
        <v>20</v>
      </c>
      <c r="BY1082" t="s">
        <v>291</v>
      </c>
      <c r="BZ1082" t="s">
        <v>163</v>
      </c>
      <c r="CA1082" t="s">
        <v>3554</v>
      </c>
      <c r="CB1082" t="s">
        <v>163</v>
      </c>
      <c r="CC1082">
        <v>76</v>
      </c>
      <c r="CD1082">
        <v>0.6</v>
      </c>
      <c r="CE1082">
        <v>40.11</v>
      </c>
      <c r="CF1082">
        <v>8848</v>
      </c>
      <c r="CG1082">
        <v>3000</v>
      </c>
      <c r="CH1082">
        <v>93</v>
      </c>
      <c r="CI1082">
        <v>2920</v>
      </c>
      <c r="CJ1082">
        <v>1683</v>
      </c>
      <c r="CK1082">
        <v>30000</v>
      </c>
      <c r="CL1082" t="s">
        <v>291</v>
      </c>
      <c r="CM1082" t="s">
        <v>291</v>
      </c>
      <c r="CN1082" t="s">
        <v>2245</v>
      </c>
      <c r="CO1082" s="1">
        <v>43582</v>
      </c>
      <c r="CP1082" s="1">
        <v>43643</v>
      </c>
    </row>
    <row r="1083" spans="1:94" x14ac:dyDescent="0.25">
      <c r="A1083" s="4" t="s">
        <v>3555</v>
      </c>
      <c r="B1083" t="str">
        <f xml:space="preserve"> "" &amp; 706411061684</f>
        <v>706411061684</v>
      </c>
      <c r="C1083" t="s">
        <v>3549</v>
      </c>
      <c r="D1083" t="s">
        <v>3550</v>
      </c>
      <c r="E1083" t="s">
        <v>3551</v>
      </c>
      <c r="F1083" t="s">
        <v>2113</v>
      </c>
      <c r="G1083">
        <v>1</v>
      </c>
      <c r="H1083">
        <v>1</v>
      </c>
      <c r="I1083" t="s">
        <v>97</v>
      </c>
      <c r="J1083" s="32">
        <v>249.95</v>
      </c>
      <c r="K1083" s="32">
        <v>749.85</v>
      </c>
      <c r="L1083">
        <v>0</v>
      </c>
      <c r="N1083">
        <v>0</v>
      </c>
      <c r="Q1083" t="s">
        <v>291</v>
      </c>
      <c r="R1083" s="32">
        <v>499.95</v>
      </c>
      <c r="S1083">
        <v>14.75</v>
      </c>
      <c r="T1083">
        <v>65</v>
      </c>
      <c r="U1083">
        <v>65</v>
      </c>
      <c r="W1083">
        <v>25.51</v>
      </c>
      <c r="X1083">
        <v>1</v>
      </c>
      <c r="Y1083">
        <v>10.130000000000001</v>
      </c>
      <c r="Z1083">
        <v>29.38</v>
      </c>
      <c r="AA1083">
        <v>16.38</v>
      </c>
      <c r="AB1083">
        <v>2.8210000000000002</v>
      </c>
      <c r="AC1083">
        <v>29.72</v>
      </c>
      <c r="AE1083">
        <v>1</v>
      </c>
      <c r="AG1083">
        <v>40</v>
      </c>
      <c r="AK1083" t="s">
        <v>291</v>
      </c>
      <c r="AM1083" t="s">
        <v>98</v>
      </c>
      <c r="AN1083" t="s">
        <v>291</v>
      </c>
      <c r="AO1083" t="s">
        <v>98</v>
      </c>
      <c r="AP1083" t="s">
        <v>99</v>
      </c>
      <c r="AQ1083" t="s">
        <v>102</v>
      </c>
      <c r="AV1083" t="s">
        <v>98</v>
      </c>
      <c r="AX1083" t="s">
        <v>281</v>
      </c>
      <c r="AZ1083" t="s">
        <v>2149</v>
      </c>
      <c r="BB1083" t="s">
        <v>2244</v>
      </c>
      <c r="BF1083" t="s">
        <v>3556</v>
      </c>
      <c r="BG1083" t="s">
        <v>98</v>
      </c>
      <c r="BH1083" t="s">
        <v>98</v>
      </c>
      <c r="BI1083" t="s">
        <v>98</v>
      </c>
      <c r="BJ1083" t="s">
        <v>291</v>
      </c>
      <c r="BK1083" t="s">
        <v>292</v>
      </c>
      <c r="BU1083" t="s">
        <v>3553</v>
      </c>
      <c r="BW1083" t="s">
        <v>2856</v>
      </c>
      <c r="BX1083">
        <v>20</v>
      </c>
      <c r="BY1083" t="s">
        <v>291</v>
      </c>
      <c r="BZ1083" t="s">
        <v>281</v>
      </c>
      <c r="CA1083" t="s">
        <v>3554</v>
      </c>
      <c r="CB1083" t="s">
        <v>281</v>
      </c>
      <c r="CC1083">
        <v>76</v>
      </c>
      <c r="CD1083">
        <v>0.6</v>
      </c>
      <c r="CE1083">
        <v>40.11</v>
      </c>
      <c r="CF1083">
        <v>8848</v>
      </c>
      <c r="CG1083">
        <v>3000</v>
      </c>
      <c r="CH1083">
        <v>93</v>
      </c>
      <c r="CI1083">
        <v>2920</v>
      </c>
      <c r="CJ1083">
        <v>1683</v>
      </c>
      <c r="CK1083">
        <v>30000</v>
      </c>
      <c r="CL1083" t="s">
        <v>291</v>
      </c>
      <c r="CM1083" t="s">
        <v>291</v>
      </c>
      <c r="CN1083" t="s">
        <v>2245</v>
      </c>
      <c r="CO1083" s="1">
        <v>43582</v>
      </c>
      <c r="CP1083" s="1">
        <v>43643</v>
      </c>
    </row>
    <row r="1084" spans="1:94" x14ac:dyDescent="0.25">
      <c r="A1084" s="4" t="s">
        <v>3557</v>
      </c>
      <c r="B1084" t="str">
        <f xml:space="preserve"> "" &amp; 706411061691</f>
        <v>706411061691</v>
      </c>
      <c r="C1084" t="s">
        <v>3549</v>
      </c>
      <c r="D1084" t="s">
        <v>3550</v>
      </c>
      <c r="E1084" t="s">
        <v>3551</v>
      </c>
      <c r="F1084" t="s">
        <v>2113</v>
      </c>
      <c r="G1084">
        <v>1</v>
      </c>
      <c r="H1084">
        <v>1</v>
      </c>
      <c r="I1084" t="s">
        <v>97</v>
      </c>
      <c r="J1084" s="32">
        <v>249.95</v>
      </c>
      <c r="K1084" s="32">
        <v>749.85</v>
      </c>
      <c r="L1084">
        <v>0</v>
      </c>
      <c r="N1084">
        <v>0</v>
      </c>
      <c r="Q1084" t="s">
        <v>291</v>
      </c>
      <c r="R1084" s="32">
        <v>499.95</v>
      </c>
      <c r="S1084">
        <v>14.75</v>
      </c>
      <c r="T1084">
        <v>65</v>
      </c>
      <c r="U1084">
        <v>65</v>
      </c>
      <c r="W1084">
        <v>25.51</v>
      </c>
      <c r="X1084">
        <v>1</v>
      </c>
      <c r="Y1084">
        <v>10.130000000000001</v>
      </c>
      <c r="Z1084">
        <v>29.38</v>
      </c>
      <c r="AA1084">
        <v>16.38</v>
      </c>
      <c r="AB1084">
        <v>2.8210000000000002</v>
      </c>
      <c r="AC1084">
        <v>29.72</v>
      </c>
      <c r="AE1084">
        <v>1</v>
      </c>
      <c r="AG1084">
        <v>40</v>
      </c>
      <c r="AK1084" t="s">
        <v>291</v>
      </c>
      <c r="AM1084" t="s">
        <v>98</v>
      </c>
      <c r="AN1084" t="s">
        <v>291</v>
      </c>
      <c r="AO1084" t="s">
        <v>98</v>
      </c>
      <c r="AP1084" t="s">
        <v>99</v>
      </c>
      <c r="AQ1084" t="s">
        <v>102</v>
      </c>
      <c r="AV1084" t="s">
        <v>98</v>
      </c>
      <c r="AX1084" t="s">
        <v>289</v>
      </c>
      <c r="AZ1084" t="s">
        <v>2149</v>
      </c>
      <c r="BB1084" t="s">
        <v>2244</v>
      </c>
      <c r="BF1084" t="s">
        <v>3558</v>
      </c>
      <c r="BG1084" t="s">
        <v>98</v>
      </c>
      <c r="BH1084" t="s">
        <v>98</v>
      </c>
      <c r="BI1084" t="s">
        <v>98</v>
      </c>
      <c r="BJ1084" t="s">
        <v>291</v>
      </c>
      <c r="BK1084" t="s">
        <v>292</v>
      </c>
      <c r="BU1084" t="s">
        <v>3553</v>
      </c>
      <c r="BW1084" t="s">
        <v>2856</v>
      </c>
      <c r="BX1084" t="s">
        <v>3559</v>
      </c>
      <c r="BY1084" t="s">
        <v>291</v>
      </c>
      <c r="BZ1084" t="s">
        <v>289</v>
      </c>
      <c r="CA1084" t="s">
        <v>3554</v>
      </c>
      <c r="CB1084" t="s">
        <v>289</v>
      </c>
      <c r="CC1084">
        <v>76</v>
      </c>
      <c r="CD1084">
        <v>0.6</v>
      </c>
      <c r="CE1084">
        <v>40.11</v>
      </c>
      <c r="CF1084">
        <v>8848</v>
      </c>
      <c r="CG1084">
        <v>3000</v>
      </c>
      <c r="CH1084">
        <v>93</v>
      </c>
      <c r="CI1084">
        <v>2920</v>
      </c>
      <c r="CJ1084">
        <v>1683</v>
      </c>
      <c r="CK1084">
        <v>30000</v>
      </c>
      <c r="CL1084" t="s">
        <v>291</v>
      </c>
      <c r="CM1084" t="s">
        <v>291</v>
      </c>
      <c r="CN1084" t="s">
        <v>2245</v>
      </c>
      <c r="CO1084" s="1">
        <v>43582</v>
      </c>
      <c r="CP1084" s="1">
        <v>43643</v>
      </c>
    </row>
    <row r="1085" spans="1:94" x14ac:dyDescent="0.25">
      <c r="A1085" s="4" t="s">
        <v>3560</v>
      </c>
      <c r="B1085" t="str">
        <f xml:space="preserve"> "" &amp; 706411052699</f>
        <v>706411052699</v>
      </c>
      <c r="C1085" t="s">
        <v>2178</v>
      </c>
      <c r="D1085" t="s">
        <v>3561</v>
      </c>
      <c r="E1085" t="s">
        <v>3562</v>
      </c>
      <c r="F1085" t="s">
        <v>2113</v>
      </c>
      <c r="G1085">
        <v>1</v>
      </c>
      <c r="H1085">
        <v>1</v>
      </c>
      <c r="I1085" t="s">
        <v>97</v>
      </c>
      <c r="J1085" s="32">
        <v>329.95</v>
      </c>
      <c r="K1085" s="32">
        <v>989.85</v>
      </c>
      <c r="L1085">
        <v>0</v>
      </c>
      <c r="N1085">
        <v>0</v>
      </c>
      <c r="Q1085" t="s">
        <v>291</v>
      </c>
      <c r="R1085" s="32">
        <v>659.95</v>
      </c>
      <c r="S1085">
        <v>11</v>
      </c>
      <c r="T1085">
        <v>72</v>
      </c>
      <c r="U1085">
        <v>72</v>
      </c>
      <c r="W1085">
        <v>22.44</v>
      </c>
      <c r="X1085">
        <v>1</v>
      </c>
      <c r="Y1085">
        <v>10.5</v>
      </c>
      <c r="Z1085">
        <v>37.630000000000003</v>
      </c>
      <c r="AA1085">
        <v>10.5</v>
      </c>
      <c r="AB1085">
        <v>2.4009999999999998</v>
      </c>
      <c r="AC1085">
        <v>27.29</v>
      </c>
      <c r="AK1085" t="s">
        <v>98</v>
      </c>
      <c r="AM1085" t="s">
        <v>98</v>
      </c>
      <c r="AN1085" t="s">
        <v>291</v>
      </c>
      <c r="AO1085" t="s">
        <v>98</v>
      </c>
      <c r="AP1085" t="s">
        <v>99</v>
      </c>
      <c r="AQ1085" t="s">
        <v>102</v>
      </c>
      <c r="AV1085" t="s">
        <v>98</v>
      </c>
      <c r="AX1085" t="s">
        <v>150</v>
      </c>
      <c r="AZ1085" t="s">
        <v>2180</v>
      </c>
      <c r="BF1085" t="s">
        <v>3563</v>
      </c>
      <c r="BG1085" t="s">
        <v>98</v>
      </c>
      <c r="BH1085" t="s">
        <v>98</v>
      </c>
      <c r="BI1085" t="s">
        <v>98</v>
      </c>
      <c r="BK1085" t="s">
        <v>138</v>
      </c>
      <c r="BU1085">
        <v>6</v>
      </c>
      <c r="BW1085">
        <v>0.75</v>
      </c>
      <c r="BX1085" t="s">
        <v>3564</v>
      </c>
      <c r="BY1085" t="s">
        <v>98</v>
      </c>
      <c r="BZ1085" t="s">
        <v>2515</v>
      </c>
      <c r="CA1085" t="s">
        <v>3565</v>
      </c>
      <c r="CB1085" t="s">
        <v>150</v>
      </c>
      <c r="CC1085">
        <v>128</v>
      </c>
      <c r="CD1085">
        <v>0.58699999999999997</v>
      </c>
      <c r="CE1085">
        <v>34.25</v>
      </c>
      <c r="CF1085">
        <v>8876.92</v>
      </c>
      <c r="CL1085" t="s">
        <v>98</v>
      </c>
      <c r="CM1085" t="s">
        <v>291</v>
      </c>
      <c r="CN1085" t="s">
        <v>700</v>
      </c>
      <c r="CO1085" s="1">
        <v>42076</v>
      </c>
      <c r="CP1085" s="1">
        <v>43595</v>
      </c>
    </row>
    <row r="1086" spans="1:94" x14ac:dyDescent="0.25">
      <c r="A1086" s="4" t="s">
        <v>3566</v>
      </c>
      <c r="B1086" t="str">
        <f xml:space="preserve"> "" &amp; 706411052705</f>
        <v>706411052705</v>
      </c>
      <c r="C1086" t="s">
        <v>2178</v>
      </c>
      <c r="D1086" t="s">
        <v>3561</v>
      </c>
      <c r="E1086" t="s">
        <v>3562</v>
      </c>
      <c r="F1086" t="s">
        <v>2113</v>
      </c>
      <c r="G1086">
        <v>1</v>
      </c>
      <c r="H1086">
        <v>1</v>
      </c>
      <c r="I1086" t="s">
        <v>97</v>
      </c>
      <c r="J1086" s="32">
        <v>329.95</v>
      </c>
      <c r="K1086" s="32">
        <v>989.85</v>
      </c>
      <c r="L1086">
        <v>0</v>
      </c>
      <c r="N1086">
        <v>0</v>
      </c>
      <c r="Q1086" t="s">
        <v>291</v>
      </c>
      <c r="R1086" s="32">
        <v>659.95</v>
      </c>
      <c r="S1086">
        <v>11</v>
      </c>
      <c r="T1086">
        <v>72</v>
      </c>
      <c r="U1086">
        <v>72</v>
      </c>
      <c r="W1086">
        <v>22.44</v>
      </c>
      <c r="X1086">
        <v>1</v>
      </c>
      <c r="Y1086">
        <v>10.5</v>
      </c>
      <c r="Z1086">
        <v>37.630000000000003</v>
      </c>
      <c r="AA1086">
        <v>10.5</v>
      </c>
      <c r="AB1086">
        <v>2.4009999999999998</v>
      </c>
      <c r="AC1086">
        <v>27.12</v>
      </c>
      <c r="AK1086" t="s">
        <v>98</v>
      </c>
      <c r="AM1086" t="s">
        <v>98</v>
      </c>
      <c r="AN1086" t="s">
        <v>291</v>
      </c>
      <c r="AO1086" t="s">
        <v>98</v>
      </c>
      <c r="AP1086" t="s">
        <v>99</v>
      </c>
      <c r="AQ1086" t="s">
        <v>102</v>
      </c>
      <c r="AR1086" s="3">
        <v>43195</v>
      </c>
      <c r="AV1086" t="s">
        <v>98</v>
      </c>
      <c r="AX1086" t="s">
        <v>245</v>
      </c>
      <c r="AZ1086" t="s">
        <v>2180</v>
      </c>
      <c r="BF1086" t="s">
        <v>3567</v>
      </c>
      <c r="BG1086" t="s">
        <v>98</v>
      </c>
      <c r="BH1086" t="s">
        <v>98</v>
      </c>
      <c r="BI1086" t="s">
        <v>98</v>
      </c>
      <c r="BK1086" t="s">
        <v>138</v>
      </c>
      <c r="BU1086">
        <v>6</v>
      </c>
      <c r="BW1086">
        <v>0.75</v>
      </c>
      <c r="BX1086" t="s">
        <v>3564</v>
      </c>
      <c r="BZ1086" t="s">
        <v>2332</v>
      </c>
      <c r="CA1086" t="s">
        <v>3565</v>
      </c>
      <c r="CB1086" t="s">
        <v>245</v>
      </c>
      <c r="CC1086">
        <v>128</v>
      </c>
      <c r="CD1086">
        <v>0.58699999999999997</v>
      </c>
      <c r="CE1086">
        <v>34.25</v>
      </c>
      <c r="CF1086">
        <v>8876.92</v>
      </c>
      <c r="CL1086" t="s">
        <v>98</v>
      </c>
      <c r="CM1086" t="s">
        <v>291</v>
      </c>
      <c r="CN1086" t="s">
        <v>3568</v>
      </c>
      <c r="CO1086" s="1">
        <v>42076</v>
      </c>
      <c r="CP1086" s="1">
        <v>43595</v>
      </c>
    </row>
    <row r="1087" spans="1:94" x14ac:dyDescent="0.25">
      <c r="A1087" s="4" t="s">
        <v>3569</v>
      </c>
      <c r="B1087" t="str">
        <f xml:space="preserve"> "" &amp; 706411052750</f>
        <v>706411052750</v>
      </c>
      <c r="C1087" t="s">
        <v>2178</v>
      </c>
      <c r="D1087" t="s">
        <v>3570</v>
      </c>
      <c r="E1087" t="s">
        <v>3562</v>
      </c>
      <c r="F1087" t="s">
        <v>2113</v>
      </c>
      <c r="G1087">
        <v>1</v>
      </c>
      <c r="H1087">
        <v>1</v>
      </c>
      <c r="I1087" t="s">
        <v>97</v>
      </c>
      <c r="J1087" s="32">
        <v>389.95</v>
      </c>
      <c r="K1087" s="32">
        <v>1169.8499999999999</v>
      </c>
      <c r="L1087">
        <v>0</v>
      </c>
      <c r="N1087">
        <v>0</v>
      </c>
      <c r="Q1087" t="s">
        <v>291</v>
      </c>
      <c r="R1087" s="32">
        <v>779.95</v>
      </c>
      <c r="S1087">
        <v>11</v>
      </c>
      <c r="T1087">
        <v>96</v>
      </c>
      <c r="U1087">
        <v>96</v>
      </c>
      <c r="W1087">
        <v>24.91</v>
      </c>
      <c r="X1087">
        <v>1</v>
      </c>
      <c r="Y1087">
        <v>10.5</v>
      </c>
      <c r="Z1087">
        <v>45.75</v>
      </c>
      <c r="AA1087">
        <v>10.5</v>
      </c>
      <c r="AB1087">
        <v>2.919</v>
      </c>
      <c r="AC1087">
        <v>29.76</v>
      </c>
      <c r="AK1087" t="s">
        <v>98</v>
      </c>
      <c r="AM1087" t="s">
        <v>98</v>
      </c>
      <c r="AN1087" t="s">
        <v>291</v>
      </c>
      <c r="AO1087" t="s">
        <v>98</v>
      </c>
      <c r="AP1087" t="s">
        <v>99</v>
      </c>
      <c r="AQ1087" t="s">
        <v>102</v>
      </c>
      <c r="AV1087" t="s">
        <v>98</v>
      </c>
      <c r="AX1087" t="s">
        <v>150</v>
      </c>
      <c r="AZ1087" t="s">
        <v>2180</v>
      </c>
      <c r="BF1087" t="s">
        <v>3571</v>
      </c>
      <c r="BG1087" t="s">
        <v>98</v>
      </c>
      <c r="BH1087" t="s">
        <v>98</v>
      </c>
      <c r="BI1087" t="s">
        <v>98</v>
      </c>
      <c r="BK1087" t="s">
        <v>138</v>
      </c>
      <c r="BU1087">
        <v>6</v>
      </c>
      <c r="BW1087">
        <v>0.75</v>
      </c>
      <c r="BX1087" t="s">
        <v>3564</v>
      </c>
      <c r="BZ1087" t="s">
        <v>2515</v>
      </c>
      <c r="CA1087" t="s">
        <v>3565</v>
      </c>
      <c r="CB1087" t="s">
        <v>150</v>
      </c>
      <c r="CC1087">
        <v>72</v>
      </c>
      <c r="CD1087">
        <v>0.39</v>
      </c>
      <c r="CE1087">
        <v>30.48</v>
      </c>
      <c r="CF1087">
        <v>13080</v>
      </c>
      <c r="CL1087" t="s">
        <v>98</v>
      </c>
      <c r="CM1087" t="s">
        <v>291</v>
      </c>
      <c r="CN1087" t="s">
        <v>700</v>
      </c>
      <c r="CO1087" s="1">
        <v>42076</v>
      </c>
      <c r="CP1087" s="1">
        <v>43595</v>
      </c>
    </row>
    <row r="1088" spans="1:94" x14ac:dyDescent="0.25">
      <c r="A1088" s="4" t="s">
        <v>3572</v>
      </c>
      <c r="B1088" t="str">
        <f xml:space="preserve"> "" &amp; 706411052767</f>
        <v>706411052767</v>
      </c>
      <c r="C1088" t="s">
        <v>2178</v>
      </c>
      <c r="D1088" t="s">
        <v>3570</v>
      </c>
      <c r="E1088" t="s">
        <v>3562</v>
      </c>
      <c r="F1088" t="s">
        <v>2113</v>
      </c>
      <c r="G1088">
        <v>1</v>
      </c>
      <c r="H1088">
        <v>1</v>
      </c>
      <c r="I1088" t="s">
        <v>97</v>
      </c>
      <c r="J1088" s="32">
        <v>389.95</v>
      </c>
      <c r="K1088" s="32">
        <v>1169.8499999999999</v>
      </c>
      <c r="L1088">
        <v>0</v>
      </c>
      <c r="N1088">
        <v>0</v>
      </c>
      <c r="Q1088" t="s">
        <v>291</v>
      </c>
      <c r="R1088" s="32">
        <v>779.95</v>
      </c>
      <c r="S1088">
        <v>11</v>
      </c>
      <c r="T1088">
        <v>96</v>
      </c>
      <c r="U1088">
        <v>96</v>
      </c>
      <c r="W1088">
        <v>24.91</v>
      </c>
      <c r="X1088">
        <v>1</v>
      </c>
      <c r="Y1088">
        <v>10.5</v>
      </c>
      <c r="Z1088">
        <v>45.75</v>
      </c>
      <c r="AA1088">
        <v>10.5</v>
      </c>
      <c r="AB1088">
        <v>2.919</v>
      </c>
      <c r="AC1088">
        <v>29.76</v>
      </c>
      <c r="AK1088" t="s">
        <v>98</v>
      </c>
      <c r="AM1088" t="s">
        <v>98</v>
      </c>
      <c r="AN1088" t="s">
        <v>291</v>
      </c>
      <c r="AO1088" t="s">
        <v>98</v>
      </c>
      <c r="AP1088" t="s">
        <v>99</v>
      </c>
      <c r="AQ1088" t="s">
        <v>102</v>
      </c>
      <c r="AV1088" t="s">
        <v>98</v>
      </c>
      <c r="AX1088" t="s">
        <v>245</v>
      </c>
      <c r="AZ1088" t="s">
        <v>2180</v>
      </c>
      <c r="BF1088" t="s">
        <v>3573</v>
      </c>
      <c r="BG1088" t="s">
        <v>98</v>
      </c>
      <c r="BH1088" t="s">
        <v>98</v>
      </c>
      <c r="BI1088" t="s">
        <v>98</v>
      </c>
      <c r="BK1088" t="s">
        <v>138</v>
      </c>
      <c r="BU1088">
        <v>6</v>
      </c>
      <c r="BW1088">
        <v>0.75</v>
      </c>
      <c r="BX1088" t="s">
        <v>3564</v>
      </c>
      <c r="BZ1088" t="s">
        <v>245</v>
      </c>
      <c r="CA1088" t="s">
        <v>3565</v>
      </c>
      <c r="CB1088" t="s">
        <v>245</v>
      </c>
      <c r="CC1088">
        <v>72</v>
      </c>
      <c r="CD1088">
        <v>0.38</v>
      </c>
      <c r="CE1088">
        <v>30.48</v>
      </c>
      <c r="CF1088">
        <v>13080</v>
      </c>
      <c r="CL1088" t="s">
        <v>98</v>
      </c>
      <c r="CM1088" t="s">
        <v>291</v>
      </c>
      <c r="CN1088" t="s">
        <v>700</v>
      </c>
      <c r="CO1088" s="1">
        <v>42076</v>
      </c>
      <c r="CP1088" s="1">
        <v>43595</v>
      </c>
    </row>
    <row r="1089" spans="1:94" x14ac:dyDescent="0.25">
      <c r="A1089" s="4" t="s">
        <v>3574</v>
      </c>
      <c r="B1089" t="str">
        <f xml:space="preserve"> "" &amp; 706411044366</f>
        <v>706411044366</v>
      </c>
      <c r="C1089" t="s">
        <v>2178</v>
      </c>
      <c r="D1089" t="s">
        <v>3575</v>
      </c>
      <c r="E1089" t="s">
        <v>3576</v>
      </c>
      <c r="F1089" t="s">
        <v>2113</v>
      </c>
      <c r="G1089">
        <v>1</v>
      </c>
      <c r="H1089">
        <v>1</v>
      </c>
      <c r="I1089" t="s">
        <v>97</v>
      </c>
      <c r="J1089" s="32">
        <v>279.95</v>
      </c>
      <c r="K1089" s="32">
        <v>839.85</v>
      </c>
      <c r="L1089">
        <v>0</v>
      </c>
      <c r="N1089">
        <v>0</v>
      </c>
      <c r="Q1089" t="s">
        <v>291</v>
      </c>
      <c r="R1089" s="32">
        <v>559.95000000000005</v>
      </c>
      <c r="S1089">
        <v>14.75</v>
      </c>
      <c r="T1089">
        <v>65</v>
      </c>
      <c r="U1089">
        <v>65</v>
      </c>
      <c r="W1089">
        <v>26.41</v>
      </c>
      <c r="X1089">
        <v>1</v>
      </c>
      <c r="Y1089">
        <v>11.63</v>
      </c>
      <c r="Z1089">
        <v>32.75</v>
      </c>
      <c r="AA1089">
        <v>11.25</v>
      </c>
      <c r="AB1089">
        <v>2.48</v>
      </c>
      <c r="AC1089">
        <v>29.89</v>
      </c>
      <c r="AE1089">
        <v>1</v>
      </c>
      <c r="AF1089" t="s">
        <v>3577</v>
      </c>
      <c r="AG1089">
        <v>18</v>
      </c>
      <c r="AK1089" t="s">
        <v>98</v>
      </c>
      <c r="AM1089" t="s">
        <v>98</v>
      </c>
      <c r="AN1089" t="s">
        <v>291</v>
      </c>
      <c r="AO1089" t="s">
        <v>98</v>
      </c>
      <c r="AP1089" t="s">
        <v>99</v>
      </c>
      <c r="AQ1089" t="s">
        <v>102</v>
      </c>
      <c r="AV1089" t="s">
        <v>98</v>
      </c>
      <c r="AX1089" t="s">
        <v>159</v>
      </c>
      <c r="AZ1089" t="s">
        <v>2180</v>
      </c>
      <c r="BB1089" t="s">
        <v>106</v>
      </c>
      <c r="BC1089" t="s">
        <v>2152</v>
      </c>
      <c r="BF1089" t="s">
        <v>3578</v>
      </c>
      <c r="BG1089" t="s">
        <v>98</v>
      </c>
      <c r="BH1089" t="s">
        <v>98</v>
      </c>
      <c r="BI1089" t="s">
        <v>98</v>
      </c>
      <c r="BJ1089" t="s">
        <v>291</v>
      </c>
      <c r="BK1089" t="s">
        <v>292</v>
      </c>
      <c r="BU1089">
        <v>6</v>
      </c>
      <c r="BW1089">
        <v>0.75</v>
      </c>
      <c r="BX1089" t="s">
        <v>2206</v>
      </c>
      <c r="BY1089" t="s">
        <v>291</v>
      </c>
      <c r="BZ1089" t="s">
        <v>159</v>
      </c>
      <c r="CA1089" t="s">
        <v>3579</v>
      </c>
      <c r="CB1089" t="s">
        <v>159</v>
      </c>
      <c r="CC1089">
        <v>98</v>
      </c>
      <c r="CD1089">
        <v>0.36299999999999999</v>
      </c>
      <c r="CE1089">
        <v>27.6</v>
      </c>
      <c r="CF1089">
        <v>8778</v>
      </c>
      <c r="CL1089" t="s">
        <v>98</v>
      </c>
      <c r="CM1089" t="s">
        <v>291</v>
      </c>
      <c r="CN1089" t="s">
        <v>2228</v>
      </c>
      <c r="CO1089" s="1">
        <v>41341</v>
      </c>
      <c r="CP1089" s="1">
        <v>43595</v>
      </c>
    </row>
    <row r="1090" spans="1:94" x14ac:dyDescent="0.25">
      <c r="A1090" s="4" t="s">
        <v>3580</v>
      </c>
      <c r="B1090" t="str">
        <f xml:space="preserve"> "" &amp; 706411052361</f>
        <v>706411052361</v>
      </c>
      <c r="C1090" t="s">
        <v>2178</v>
      </c>
      <c r="D1090" t="s">
        <v>3575</v>
      </c>
      <c r="E1090" t="s">
        <v>3576</v>
      </c>
      <c r="F1090" t="s">
        <v>2113</v>
      </c>
      <c r="G1090">
        <v>1</v>
      </c>
      <c r="H1090">
        <v>1</v>
      </c>
      <c r="I1090" t="s">
        <v>97</v>
      </c>
      <c r="J1090" s="32">
        <v>279.95</v>
      </c>
      <c r="K1090" s="32">
        <v>839.85</v>
      </c>
      <c r="L1090">
        <v>0</v>
      </c>
      <c r="N1090">
        <v>0</v>
      </c>
      <c r="Q1090" t="s">
        <v>291</v>
      </c>
      <c r="R1090" s="32">
        <v>559.95000000000005</v>
      </c>
      <c r="S1090">
        <v>14.75</v>
      </c>
      <c r="T1090">
        <v>65</v>
      </c>
      <c r="U1090">
        <v>65</v>
      </c>
      <c r="W1090">
        <v>26.41</v>
      </c>
      <c r="X1090">
        <v>1</v>
      </c>
      <c r="Y1090">
        <v>11.63</v>
      </c>
      <c r="Z1090">
        <v>32.75</v>
      </c>
      <c r="AA1090">
        <v>11.25</v>
      </c>
      <c r="AB1090">
        <v>2.48</v>
      </c>
      <c r="AC1090">
        <v>29.89</v>
      </c>
      <c r="AE1090">
        <v>1</v>
      </c>
      <c r="AF1090" t="s">
        <v>3577</v>
      </c>
      <c r="AG1090">
        <v>18</v>
      </c>
      <c r="AK1090" t="s">
        <v>98</v>
      </c>
      <c r="AM1090" t="s">
        <v>98</v>
      </c>
      <c r="AN1090" t="s">
        <v>291</v>
      </c>
      <c r="AO1090" t="s">
        <v>98</v>
      </c>
      <c r="AP1090" t="s">
        <v>99</v>
      </c>
      <c r="AQ1090" t="s">
        <v>102</v>
      </c>
      <c r="AV1090" t="s">
        <v>98</v>
      </c>
      <c r="AX1090" t="s">
        <v>703</v>
      </c>
      <c r="AZ1090" t="s">
        <v>2180</v>
      </c>
      <c r="BB1090" t="s">
        <v>106</v>
      </c>
      <c r="BC1090" t="s">
        <v>3150</v>
      </c>
      <c r="BF1090" t="s">
        <v>3581</v>
      </c>
      <c r="BG1090" t="s">
        <v>98</v>
      </c>
      <c r="BH1090" t="s">
        <v>98</v>
      </c>
      <c r="BI1090" t="s">
        <v>98</v>
      </c>
      <c r="BJ1090" t="s">
        <v>291</v>
      </c>
      <c r="BK1090" t="s">
        <v>292</v>
      </c>
      <c r="BU1090">
        <v>6</v>
      </c>
      <c r="BW1090">
        <v>0.75</v>
      </c>
      <c r="BX1090" t="s">
        <v>2206</v>
      </c>
      <c r="BY1090" t="s">
        <v>291</v>
      </c>
      <c r="BZ1090" t="s">
        <v>2387</v>
      </c>
      <c r="CA1090" t="s">
        <v>3579</v>
      </c>
      <c r="CB1090" t="s">
        <v>703</v>
      </c>
      <c r="CC1090">
        <v>98</v>
      </c>
      <c r="CD1090">
        <v>0.36299999999999999</v>
      </c>
      <c r="CE1090">
        <v>27.6</v>
      </c>
      <c r="CF1090">
        <v>8778</v>
      </c>
      <c r="CL1090" t="s">
        <v>98</v>
      </c>
      <c r="CM1090" t="s">
        <v>291</v>
      </c>
      <c r="CN1090" t="s">
        <v>2228</v>
      </c>
      <c r="CO1090" s="1">
        <v>41985</v>
      </c>
      <c r="CP1090" s="1">
        <v>43595</v>
      </c>
    </row>
    <row r="1091" spans="1:94" x14ac:dyDescent="0.25">
      <c r="A1091" s="4" t="s">
        <v>3586</v>
      </c>
      <c r="B1091" t="str">
        <f xml:space="preserve"> "" &amp; 706411061493</f>
        <v>706411061493</v>
      </c>
      <c r="C1091" t="s">
        <v>3587</v>
      </c>
      <c r="D1091" t="s">
        <v>3588</v>
      </c>
      <c r="E1091" t="s">
        <v>3589</v>
      </c>
      <c r="F1091" t="s">
        <v>2113</v>
      </c>
      <c r="G1091">
        <v>1</v>
      </c>
      <c r="H1091">
        <v>1</v>
      </c>
      <c r="I1091" t="s">
        <v>97</v>
      </c>
      <c r="J1091" s="32">
        <v>279.95</v>
      </c>
      <c r="K1091" s="32">
        <v>839.85</v>
      </c>
      <c r="L1091">
        <v>0</v>
      </c>
      <c r="N1091">
        <v>0</v>
      </c>
      <c r="Q1091" t="s">
        <v>291</v>
      </c>
      <c r="R1091" s="32">
        <v>559.95000000000005</v>
      </c>
      <c r="S1091">
        <v>14.75</v>
      </c>
      <c r="T1091">
        <v>65</v>
      </c>
      <c r="U1091">
        <v>65</v>
      </c>
      <c r="W1091">
        <v>25.99</v>
      </c>
      <c r="X1091">
        <v>1</v>
      </c>
      <c r="Y1091">
        <v>11.63</v>
      </c>
      <c r="Z1091">
        <v>32.75</v>
      </c>
      <c r="AA1091">
        <v>11.25</v>
      </c>
      <c r="AB1091">
        <v>2.48</v>
      </c>
      <c r="AC1091">
        <v>29.32</v>
      </c>
      <c r="AE1091">
        <v>1</v>
      </c>
      <c r="AF1091" t="s">
        <v>3284</v>
      </c>
      <c r="AG1091">
        <v>18</v>
      </c>
      <c r="AK1091" t="s">
        <v>291</v>
      </c>
      <c r="AM1091" t="s">
        <v>98</v>
      </c>
      <c r="AN1091" t="s">
        <v>291</v>
      </c>
      <c r="AO1091" t="s">
        <v>98</v>
      </c>
      <c r="AP1091" t="s">
        <v>99</v>
      </c>
      <c r="AQ1091" t="s">
        <v>102</v>
      </c>
      <c r="AV1091" t="s">
        <v>98</v>
      </c>
      <c r="AX1091" t="s">
        <v>159</v>
      </c>
      <c r="AZ1091" t="s">
        <v>2149</v>
      </c>
      <c r="BB1091" t="s">
        <v>106</v>
      </c>
      <c r="BC1091" t="s">
        <v>2152</v>
      </c>
      <c r="BF1091" t="s">
        <v>3590</v>
      </c>
      <c r="BG1091" t="s">
        <v>98</v>
      </c>
      <c r="BH1091" t="s">
        <v>98</v>
      </c>
      <c r="BI1091" t="s">
        <v>98</v>
      </c>
      <c r="BJ1091" t="s">
        <v>291</v>
      </c>
      <c r="BK1091" t="s">
        <v>292</v>
      </c>
      <c r="BU1091">
        <v>6</v>
      </c>
      <c r="BW1091">
        <v>0.75</v>
      </c>
      <c r="BX1091">
        <v>14</v>
      </c>
      <c r="BY1091" t="s">
        <v>291</v>
      </c>
      <c r="BZ1091" t="s">
        <v>441</v>
      </c>
      <c r="CA1091" t="s">
        <v>3579</v>
      </c>
      <c r="CB1091" t="s">
        <v>159</v>
      </c>
      <c r="CC1091">
        <v>109</v>
      </c>
      <c r="CD1091">
        <v>0.43</v>
      </c>
      <c r="CE1091">
        <v>31</v>
      </c>
      <c r="CF1091">
        <v>8263</v>
      </c>
      <c r="CG1091">
        <v>3000</v>
      </c>
      <c r="CH1091">
        <v>92</v>
      </c>
      <c r="CI1091">
        <v>1496.5</v>
      </c>
      <c r="CJ1091">
        <v>875</v>
      </c>
      <c r="CK1091">
        <v>30000</v>
      </c>
      <c r="CL1091" t="s">
        <v>291</v>
      </c>
      <c r="CM1091" t="s">
        <v>291</v>
      </c>
      <c r="CN1091" t="s">
        <v>2176</v>
      </c>
      <c r="CO1091" s="1">
        <v>43407</v>
      </c>
      <c r="CP1091" s="1">
        <v>43487</v>
      </c>
    </row>
    <row r="1092" spans="1:94" x14ac:dyDescent="0.25">
      <c r="A1092" s="4" t="s">
        <v>3591</v>
      </c>
      <c r="B1092" t="str">
        <f xml:space="preserve"> "" &amp; 706411061868</f>
        <v>706411061868</v>
      </c>
      <c r="C1092" t="s">
        <v>3592</v>
      </c>
      <c r="D1092" t="s">
        <v>3588</v>
      </c>
      <c r="E1092" t="s">
        <v>3589</v>
      </c>
      <c r="F1092" t="s">
        <v>2113</v>
      </c>
      <c r="G1092">
        <v>1</v>
      </c>
      <c r="H1092">
        <v>1</v>
      </c>
      <c r="I1092" t="s">
        <v>97</v>
      </c>
      <c r="J1092" s="32">
        <v>279.95</v>
      </c>
      <c r="K1092" s="32">
        <v>839.85</v>
      </c>
      <c r="L1092">
        <v>0</v>
      </c>
      <c r="N1092">
        <v>0</v>
      </c>
      <c r="Q1092" t="s">
        <v>291</v>
      </c>
      <c r="R1092" s="32">
        <v>559.95000000000005</v>
      </c>
      <c r="S1092">
        <v>14.75</v>
      </c>
      <c r="T1092">
        <v>65</v>
      </c>
      <c r="U1092">
        <v>65</v>
      </c>
      <c r="W1092">
        <v>25.99</v>
      </c>
      <c r="X1092">
        <v>1</v>
      </c>
      <c r="Y1092">
        <v>11.63</v>
      </c>
      <c r="Z1092">
        <v>32.75</v>
      </c>
      <c r="AA1092">
        <v>11.25</v>
      </c>
      <c r="AB1092">
        <v>2.48</v>
      </c>
      <c r="AC1092">
        <v>29.32</v>
      </c>
      <c r="AE1092">
        <v>1</v>
      </c>
      <c r="AF1092" t="s">
        <v>3593</v>
      </c>
      <c r="AG1092">
        <v>18</v>
      </c>
      <c r="AK1092" t="s">
        <v>291</v>
      </c>
      <c r="AM1092" t="s">
        <v>98</v>
      </c>
      <c r="AN1092" t="s">
        <v>291</v>
      </c>
      <c r="AO1092" t="s">
        <v>98</v>
      </c>
      <c r="AP1092" t="s">
        <v>99</v>
      </c>
      <c r="AQ1092" t="s">
        <v>102</v>
      </c>
      <c r="AV1092" t="s">
        <v>98</v>
      </c>
      <c r="AX1092" t="s">
        <v>179</v>
      </c>
      <c r="AZ1092" t="s">
        <v>2149</v>
      </c>
      <c r="BC1092" t="s">
        <v>3285</v>
      </c>
      <c r="BF1092" t="s">
        <v>3594</v>
      </c>
      <c r="BG1092" t="s">
        <v>98</v>
      </c>
      <c r="BH1092" t="s">
        <v>98</v>
      </c>
      <c r="BI1092" t="s">
        <v>98</v>
      </c>
      <c r="BJ1092" t="s">
        <v>291</v>
      </c>
      <c r="BK1092" t="s">
        <v>292</v>
      </c>
      <c r="BU1092">
        <v>6</v>
      </c>
      <c r="BW1092">
        <v>0.75</v>
      </c>
      <c r="BX1092" t="s">
        <v>2206</v>
      </c>
      <c r="BY1092" t="s">
        <v>291</v>
      </c>
      <c r="BZ1092" t="s">
        <v>179</v>
      </c>
      <c r="CA1092" t="s">
        <v>3595</v>
      </c>
      <c r="CB1092" t="s">
        <v>179</v>
      </c>
      <c r="CC1092">
        <v>109</v>
      </c>
      <c r="CD1092">
        <v>0.43</v>
      </c>
      <c r="CE1092">
        <v>31</v>
      </c>
      <c r="CF1092">
        <v>8263</v>
      </c>
      <c r="CG1092">
        <v>3000</v>
      </c>
      <c r="CH1092">
        <v>92</v>
      </c>
      <c r="CI1092">
        <v>1496.5</v>
      </c>
      <c r="CJ1092">
        <v>875</v>
      </c>
      <c r="CK1092">
        <v>30000</v>
      </c>
      <c r="CL1092" t="s">
        <v>291</v>
      </c>
      <c r="CM1092" t="s">
        <v>291</v>
      </c>
      <c r="CN1092" t="s">
        <v>2176</v>
      </c>
      <c r="CO1092" s="1">
        <v>43563</v>
      </c>
      <c r="CP1092" s="1">
        <v>43665</v>
      </c>
    </row>
    <row r="1093" spans="1:94" x14ac:dyDescent="0.25">
      <c r="A1093" s="4" t="s">
        <v>3596</v>
      </c>
      <c r="B1093" t="str">
        <f xml:space="preserve"> "" &amp; 706411061509</f>
        <v>706411061509</v>
      </c>
      <c r="C1093" t="s">
        <v>3592</v>
      </c>
      <c r="D1093" t="s">
        <v>3588</v>
      </c>
      <c r="E1093" t="s">
        <v>3589</v>
      </c>
      <c r="F1093" t="s">
        <v>2113</v>
      </c>
      <c r="G1093">
        <v>1</v>
      </c>
      <c r="H1093">
        <v>1</v>
      </c>
      <c r="I1093" t="s">
        <v>97</v>
      </c>
      <c r="J1093" s="32">
        <v>279.95</v>
      </c>
      <c r="K1093" s="32">
        <v>839.85</v>
      </c>
      <c r="L1093">
        <v>0</v>
      </c>
      <c r="N1093">
        <v>0</v>
      </c>
      <c r="Q1093" t="s">
        <v>291</v>
      </c>
      <c r="R1093" s="32">
        <v>559.95000000000005</v>
      </c>
      <c r="S1093">
        <v>14.75</v>
      </c>
      <c r="T1093">
        <v>65</v>
      </c>
      <c r="U1093">
        <v>65</v>
      </c>
      <c r="W1093">
        <v>25.99</v>
      </c>
      <c r="X1093">
        <v>1</v>
      </c>
      <c r="Y1093">
        <v>11.63</v>
      </c>
      <c r="Z1093">
        <v>32.75</v>
      </c>
      <c r="AA1093">
        <v>11.25</v>
      </c>
      <c r="AB1093">
        <v>2.48</v>
      </c>
      <c r="AC1093">
        <v>29.32</v>
      </c>
      <c r="AE1093">
        <v>1</v>
      </c>
      <c r="AF1093" t="s">
        <v>3597</v>
      </c>
      <c r="AG1093">
        <v>18</v>
      </c>
      <c r="AK1093" t="s">
        <v>291</v>
      </c>
      <c r="AM1093" t="s">
        <v>98</v>
      </c>
      <c r="AN1093" t="s">
        <v>291</v>
      </c>
      <c r="AO1093" t="s">
        <v>98</v>
      </c>
      <c r="AP1093" t="s">
        <v>99</v>
      </c>
      <c r="AQ1093" t="s">
        <v>102</v>
      </c>
      <c r="AV1093" t="s">
        <v>98</v>
      </c>
      <c r="AX1093" t="s">
        <v>703</v>
      </c>
      <c r="AZ1093" t="s">
        <v>2149</v>
      </c>
      <c r="BB1093" t="s">
        <v>106</v>
      </c>
      <c r="BC1093" t="s">
        <v>3150</v>
      </c>
      <c r="BF1093" t="s">
        <v>3598</v>
      </c>
      <c r="BG1093" t="s">
        <v>98</v>
      </c>
      <c r="BH1093" t="s">
        <v>98</v>
      </c>
      <c r="BI1093" t="s">
        <v>98</v>
      </c>
      <c r="BJ1093" t="s">
        <v>291</v>
      </c>
      <c r="BK1093" t="s">
        <v>292</v>
      </c>
      <c r="BU1093">
        <v>6</v>
      </c>
      <c r="BW1093">
        <v>0.75</v>
      </c>
      <c r="BX1093">
        <v>14</v>
      </c>
      <c r="BY1093" t="s">
        <v>291</v>
      </c>
      <c r="BZ1093" t="s">
        <v>703</v>
      </c>
      <c r="CA1093" t="s">
        <v>3595</v>
      </c>
      <c r="CB1093" t="s">
        <v>703</v>
      </c>
      <c r="CC1093">
        <v>109</v>
      </c>
      <c r="CD1093">
        <v>0.43</v>
      </c>
      <c r="CE1093">
        <v>31</v>
      </c>
      <c r="CF1093">
        <v>8263</v>
      </c>
      <c r="CG1093">
        <v>3000</v>
      </c>
      <c r="CH1093">
        <v>90</v>
      </c>
      <c r="CI1093">
        <v>1496.5</v>
      </c>
      <c r="CJ1093">
        <v>565</v>
      </c>
      <c r="CK1093">
        <v>30000</v>
      </c>
      <c r="CL1093" t="s">
        <v>291</v>
      </c>
      <c r="CM1093" t="s">
        <v>291</v>
      </c>
      <c r="CO1093" s="1">
        <v>43407</v>
      </c>
      <c r="CP1093" s="1">
        <v>43487</v>
      </c>
    </row>
    <row r="1094" spans="1:94" x14ac:dyDescent="0.25">
      <c r="A1094" s="4" t="s">
        <v>3599</v>
      </c>
      <c r="B1094" t="str">
        <f xml:space="preserve"> "" &amp; 706411061516</f>
        <v>706411061516</v>
      </c>
      <c r="C1094" t="s">
        <v>3592</v>
      </c>
      <c r="D1094" t="s">
        <v>3588</v>
      </c>
      <c r="E1094" t="s">
        <v>3589</v>
      </c>
      <c r="F1094" t="s">
        <v>2113</v>
      </c>
      <c r="G1094">
        <v>1</v>
      </c>
      <c r="H1094">
        <v>1</v>
      </c>
      <c r="I1094" t="s">
        <v>97</v>
      </c>
      <c r="J1094" s="32">
        <v>279.95</v>
      </c>
      <c r="K1094" s="32">
        <v>839.85</v>
      </c>
      <c r="L1094">
        <v>0</v>
      </c>
      <c r="N1094">
        <v>0</v>
      </c>
      <c r="Q1094" t="s">
        <v>291</v>
      </c>
      <c r="R1094" s="32">
        <v>559.95000000000005</v>
      </c>
      <c r="S1094">
        <v>14.75</v>
      </c>
      <c r="T1094">
        <v>65</v>
      </c>
      <c r="U1094">
        <v>65</v>
      </c>
      <c r="W1094">
        <v>25.99</v>
      </c>
      <c r="X1094">
        <v>1</v>
      </c>
      <c r="Y1094">
        <v>11.63</v>
      </c>
      <c r="Z1094">
        <v>32.75</v>
      </c>
      <c r="AA1094">
        <v>11.25</v>
      </c>
      <c r="AB1094">
        <v>2.48</v>
      </c>
      <c r="AC1094">
        <v>29.32</v>
      </c>
      <c r="AE1094">
        <v>1</v>
      </c>
      <c r="AF1094" t="s">
        <v>3284</v>
      </c>
      <c r="AG1094">
        <v>18</v>
      </c>
      <c r="AK1094" t="s">
        <v>291</v>
      </c>
      <c r="AM1094" t="s">
        <v>98</v>
      </c>
      <c r="AN1094" t="s">
        <v>291</v>
      </c>
      <c r="AO1094" t="s">
        <v>98</v>
      </c>
      <c r="AP1094" t="s">
        <v>99</v>
      </c>
      <c r="AQ1094" t="s">
        <v>102</v>
      </c>
      <c r="AV1094" t="s">
        <v>98</v>
      </c>
      <c r="AX1094" t="s">
        <v>245</v>
      </c>
      <c r="AZ1094" t="s">
        <v>2149</v>
      </c>
      <c r="BB1094" t="s">
        <v>106</v>
      </c>
      <c r="BC1094" t="s">
        <v>3150</v>
      </c>
      <c r="BF1094" t="s">
        <v>3600</v>
      </c>
      <c r="BG1094" t="s">
        <v>98</v>
      </c>
      <c r="BH1094" t="s">
        <v>98</v>
      </c>
      <c r="BI1094" t="s">
        <v>98</v>
      </c>
      <c r="BJ1094" t="s">
        <v>291</v>
      </c>
      <c r="BK1094" t="s">
        <v>292</v>
      </c>
      <c r="BU1094">
        <v>6</v>
      </c>
      <c r="BX1094">
        <v>14</v>
      </c>
      <c r="BY1094" t="s">
        <v>291</v>
      </c>
      <c r="BZ1094" t="s">
        <v>245</v>
      </c>
      <c r="CA1094" t="s">
        <v>3595</v>
      </c>
      <c r="CB1094" t="s">
        <v>245</v>
      </c>
      <c r="CC1094">
        <v>109</v>
      </c>
      <c r="CD1094">
        <v>0.43</v>
      </c>
      <c r="CE1094">
        <v>31</v>
      </c>
      <c r="CF1094">
        <v>8263</v>
      </c>
      <c r="CG1094">
        <v>3000</v>
      </c>
      <c r="CH1094">
        <v>90</v>
      </c>
      <c r="CI1094">
        <v>1496.5</v>
      </c>
      <c r="CJ1094">
        <v>565</v>
      </c>
      <c r="CK1094">
        <v>30000</v>
      </c>
      <c r="CL1094" t="s">
        <v>291</v>
      </c>
      <c r="CM1094" t="s">
        <v>291</v>
      </c>
      <c r="CN1094" t="s">
        <v>2176</v>
      </c>
      <c r="CO1094" s="1">
        <v>43407</v>
      </c>
      <c r="CP1094" s="1">
        <v>43487</v>
      </c>
    </row>
    <row r="1095" spans="1:94" x14ac:dyDescent="0.25">
      <c r="A1095" s="4" t="s">
        <v>3601</v>
      </c>
      <c r="B1095" t="str">
        <f xml:space="preserve"> "" &amp; 706411061523</f>
        <v>706411061523</v>
      </c>
      <c r="C1095" t="s">
        <v>3592</v>
      </c>
      <c r="D1095" t="s">
        <v>3588</v>
      </c>
      <c r="E1095" t="s">
        <v>3589</v>
      </c>
      <c r="F1095" t="s">
        <v>2113</v>
      </c>
      <c r="G1095">
        <v>1</v>
      </c>
      <c r="H1095">
        <v>1</v>
      </c>
      <c r="I1095" t="s">
        <v>97</v>
      </c>
      <c r="J1095" s="32">
        <v>279.95</v>
      </c>
      <c r="K1095" s="32">
        <v>839.85</v>
      </c>
      <c r="L1095">
        <v>0</v>
      </c>
      <c r="N1095">
        <v>0</v>
      </c>
      <c r="Q1095" t="s">
        <v>291</v>
      </c>
      <c r="R1095" s="32">
        <v>559.95000000000005</v>
      </c>
      <c r="S1095">
        <v>14.75</v>
      </c>
      <c r="T1095">
        <v>65</v>
      </c>
      <c r="U1095">
        <v>65</v>
      </c>
      <c r="W1095">
        <v>25.99</v>
      </c>
      <c r="X1095">
        <v>1</v>
      </c>
      <c r="Y1095">
        <v>11.63</v>
      </c>
      <c r="Z1095">
        <v>32.75</v>
      </c>
      <c r="AA1095">
        <v>11.25</v>
      </c>
      <c r="AB1095">
        <v>2.48</v>
      </c>
      <c r="AC1095">
        <v>29.32</v>
      </c>
      <c r="AE1095">
        <v>1</v>
      </c>
      <c r="AF1095" t="s">
        <v>3284</v>
      </c>
      <c r="AG1095">
        <v>18</v>
      </c>
      <c r="AK1095" t="s">
        <v>291</v>
      </c>
      <c r="AM1095" t="s">
        <v>98</v>
      </c>
      <c r="AN1095" t="s">
        <v>291</v>
      </c>
      <c r="AO1095" t="s">
        <v>98</v>
      </c>
      <c r="AP1095" t="s">
        <v>99</v>
      </c>
      <c r="AQ1095" t="s">
        <v>102</v>
      </c>
      <c r="AV1095" t="s">
        <v>98</v>
      </c>
      <c r="AX1095" t="s">
        <v>306</v>
      </c>
      <c r="AZ1095" t="s">
        <v>2149</v>
      </c>
      <c r="BB1095" t="s">
        <v>106</v>
      </c>
      <c r="BC1095" t="s">
        <v>2152</v>
      </c>
      <c r="BF1095" t="s">
        <v>3602</v>
      </c>
      <c r="BG1095" t="s">
        <v>98</v>
      </c>
      <c r="BH1095" t="s">
        <v>98</v>
      </c>
      <c r="BI1095" t="s">
        <v>98</v>
      </c>
      <c r="BJ1095" t="s">
        <v>291</v>
      </c>
      <c r="BK1095" t="s">
        <v>292</v>
      </c>
      <c r="BU1095">
        <v>6</v>
      </c>
      <c r="BW1095">
        <v>0.75</v>
      </c>
      <c r="BX1095">
        <v>14</v>
      </c>
      <c r="BY1095" t="s">
        <v>291</v>
      </c>
      <c r="BZ1095" t="s">
        <v>306</v>
      </c>
      <c r="CA1095" t="s">
        <v>3595</v>
      </c>
      <c r="CB1095" t="s">
        <v>306</v>
      </c>
      <c r="CC1095">
        <v>109</v>
      </c>
      <c r="CD1095">
        <v>0.43</v>
      </c>
      <c r="CE1095">
        <v>31</v>
      </c>
      <c r="CF1095">
        <v>8263</v>
      </c>
      <c r="CG1095">
        <v>3000</v>
      </c>
      <c r="CH1095">
        <v>92</v>
      </c>
      <c r="CI1095">
        <v>1496.5</v>
      </c>
      <c r="CJ1095">
        <v>875</v>
      </c>
      <c r="CK1095">
        <v>30000</v>
      </c>
      <c r="CL1095" t="s">
        <v>291</v>
      </c>
      <c r="CM1095" t="s">
        <v>291</v>
      </c>
      <c r="CN1095" t="s">
        <v>2176</v>
      </c>
      <c r="CO1095" s="1">
        <v>43462</v>
      </c>
      <c r="CP1095" s="1">
        <v>43487</v>
      </c>
    </row>
    <row r="1096" spans="1:94" x14ac:dyDescent="0.25">
      <c r="A1096" s="4" t="s">
        <v>3582</v>
      </c>
      <c r="B1096" t="str">
        <f xml:space="preserve"> "" &amp; 706411044373</f>
        <v>706411044373</v>
      </c>
      <c r="C1096" t="s">
        <v>2178</v>
      </c>
      <c r="D1096" t="s">
        <v>3575</v>
      </c>
      <c r="E1096" t="s">
        <v>3576</v>
      </c>
      <c r="F1096" t="s">
        <v>2113</v>
      </c>
      <c r="G1096">
        <v>1</v>
      </c>
      <c r="H1096">
        <v>1</v>
      </c>
      <c r="I1096" t="s">
        <v>97</v>
      </c>
      <c r="J1096" s="32">
        <v>279.95</v>
      </c>
      <c r="K1096" s="32">
        <v>839.85</v>
      </c>
      <c r="L1096">
        <v>0</v>
      </c>
      <c r="N1096">
        <v>0</v>
      </c>
      <c r="Q1096" t="s">
        <v>291</v>
      </c>
      <c r="R1096" s="32">
        <v>559.95000000000005</v>
      </c>
      <c r="S1096">
        <v>14.75</v>
      </c>
      <c r="T1096">
        <v>65</v>
      </c>
      <c r="U1096">
        <v>65</v>
      </c>
      <c r="W1096">
        <v>26.41</v>
      </c>
      <c r="X1096">
        <v>1</v>
      </c>
      <c r="Y1096">
        <v>11.63</v>
      </c>
      <c r="Z1096">
        <v>32.75</v>
      </c>
      <c r="AA1096">
        <v>11.25</v>
      </c>
      <c r="AB1096">
        <v>2.48</v>
      </c>
      <c r="AC1096">
        <v>29.89</v>
      </c>
      <c r="AE1096">
        <v>1</v>
      </c>
      <c r="AF1096" t="s">
        <v>3577</v>
      </c>
      <c r="AG1096">
        <v>18</v>
      </c>
      <c r="AK1096" t="s">
        <v>98</v>
      </c>
      <c r="AM1096" t="s">
        <v>98</v>
      </c>
      <c r="AN1096" t="s">
        <v>291</v>
      </c>
      <c r="AO1096" t="s">
        <v>98</v>
      </c>
      <c r="AP1096" t="s">
        <v>99</v>
      </c>
      <c r="AQ1096" t="s">
        <v>102</v>
      </c>
      <c r="AV1096" t="s">
        <v>98</v>
      </c>
      <c r="AX1096" t="s">
        <v>245</v>
      </c>
      <c r="AZ1096" t="s">
        <v>2180</v>
      </c>
      <c r="BB1096" t="s">
        <v>106</v>
      </c>
      <c r="BC1096" t="s">
        <v>3150</v>
      </c>
      <c r="BF1096" t="s">
        <v>3583</v>
      </c>
      <c r="BG1096" t="s">
        <v>98</v>
      </c>
      <c r="BH1096" t="s">
        <v>98</v>
      </c>
      <c r="BI1096" t="s">
        <v>98</v>
      </c>
      <c r="BJ1096" t="s">
        <v>291</v>
      </c>
      <c r="BK1096" t="s">
        <v>292</v>
      </c>
      <c r="BU1096">
        <v>6</v>
      </c>
      <c r="BW1096">
        <v>0.75</v>
      </c>
      <c r="BX1096">
        <v>14</v>
      </c>
      <c r="BY1096" t="s">
        <v>291</v>
      </c>
      <c r="BZ1096" t="s">
        <v>245</v>
      </c>
      <c r="CB1096" t="s">
        <v>245</v>
      </c>
      <c r="CC1096">
        <v>98</v>
      </c>
      <c r="CD1096">
        <v>0.36299999999999999</v>
      </c>
      <c r="CE1096">
        <v>27.6</v>
      </c>
      <c r="CF1096">
        <v>8778</v>
      </c>
      <c r="CL1096" t="s">
        <v>98</v>
      </c>
      <c r="CM1096" t="s">
        <v>291</v>
      </c>
      <c r="CO1096" s="1">
        <v>41349</v>
      </c>
      <c r="CP1096" s="1">
        <v>43595</v>
      </c>
    </row>
    <row r="1097" spans="1:94" x14ac:dyDescent="0.25">
      <c r="A1097" s="4" t="s">
        <v>3584</v>
      </c>
      <c r="B1097" t="str">
        <f xml:space="preserve"> "" &amp; 706411044380</f>
        <v>706411044380</v>
      </c>
      <c r="C1097" t="s">
        <v>2178</v>
      </c>
      <c r="D1097" t="s">
        <v>3575</v>
      </c>
      <c r="E1097" t="s">
        <v>3576</v>
      </c>
      <c r="F1097" t="s">
        <v>2113</v>
      </c>
      <c r="G1097">
        <v>1</v>
      </c>
      <c r="H1097">
        <v>1</v>
      </c>
      <c r="I1097" t="s">
        <v>97</v>
      </c>
      <c r="J1097" s="32">
        <v>279.95</v>
      </c>
      <c r="K1097" s="32">
        <v>839.85</v>
      </c>
      <c r="L1097">
        <v>0</v>
      </c>
      <c r="N1097">
        <v>0</v>
      </c>
      <c r="Q1097" t="s">
        <v>291</v>
      </c>
      <c r="R1097" s="32">
        <v>559.95000000000005</v>
      </c>
      <c r="S1097">
        <v>14.75</v>
      </c>
      <c r="T1097">
        <v>65</v>
      </c>
      <c r="U1097">
        <v>65</v>
      </c>
      <c r="W1097">
        <v>26.41</v>
      </c>
      <c r="X1097">
        <v>1</v>
      </c>
      <c r="Y1097">
        <v>11.63</v>
      </c>
      <c r="Z1097">
        <v>32.75</v>
      </c>
      <c r="AA1097">
        <v>11.25</v>
      </c>
      <c r="AB1097">
        <v>2.48</v>
      </c>
      <c r="AC1097">
        <v>29.89</v>
      </c>
      <c r="AE1097">
        <v>1</v>
      </c>
      <c r="AF1097" t="s">
        <v>3577</v>
      </c>
      <c r="AG1097">
        <v>18</v>
      </c>
      <c r="AK1097" t="s">
        <v>291</v>
      </c>
      <c r="AM1097" t="s">
        <v>98</v>
      </c>
      <c r="AN1097" t="s">
        <v>291</v>
      </c>
      <c r="AO1097" t="s">
        <v>98</v>
      </c>
      <c r="AP1097" t="s">
        <v>99</v>
      </c>
      <c r="AQ1097" t="s">
        <v>102</v>
      </c>
      <c r="AV1097" t="s">
        <v>98</v>
      </c>
      <c r="AX1097" t="s">
        <v>306</v>
      </c>
      <c r="AZ1097" t="s">
        <v>2180</v>
      </c>
      <c r="BB1097" t="s">
        <v>106</v>
      </c>
      <c r="BC1097" t="s">
        <v>2152</v>
      </c>
      <c r="BF1097" t="s">
        <v>3585</v>
      </c>
      <c r="BG1097" t="s">
        <v>98</v>
      </c>
      <c r="BH1097" t="s">
        <v>98</v>
      </c>
      <c r="BI1097" t="s">
        <v>98</v>
      </c>
      <c r="BJ1097" t="s">
        <v>291</v>
      </c>
      <c r="BK1097" t="s">
        <v>292</v>
      </c>
      <c r="BU1097">
        <v>6</v>
      </c>
      <c r="BW1097">
        <v>0.75</v>
      </c>
      <c r="BX1097">
        <v>14</v>
      </c>
      <c r="BY1097" t="s">
        <v>291</v>
      </c>
      <c r="BZ1097" t="s">
        <v>306</v>
      </c>
      <c r="CA1097" t="s">
        <v>3579</v>
      </c>
      <c r="CB1097" t="s">
        <v>306</v>
      </c>
      <c r="CC1097">
        <v>98</v>
      </c>
      <c r="CD1097">
        <v>0.36299999999999999</v>
      </c>
      <c r="CE1097">
        <v>27.6</v>
      </c>
      <c r="CF1097">
        <v>8778</v>
      </c>
      <c r="CL1097" t="s">
        <v>98</v>
      </c>
      <c r="CM1097" t="s">
        <v>291</v>
      </c>
      <c r="CO1097" s="1">
        <v>41349</v>
      </c>
      <c r="CP1097" s="1">
        <v>43595</v>
      </c>
    </row>
    <row r="1098" spans="1:94" x14ac:dyDescent="0.25">
      <c r="A1098" s="4" t="s">
        <v>3603</v>
      </c>
      <c r="B1098" t="str">
        <f xml:space="preserve"> "" &amp; 706411058547</f>
        <v>706411058547</v>
      </c>
      <c r="C1098" t="s">
        <v>3604</v>
      </c>
      <c r="D1098" t="s">
        <v>3605</v>
      </c>
      <c r="E1098" t="s">
        <v>3606</v>
      </c>
      <c r="F1098" t="s">
        <v>2113</v>
      </c>
      <c r="G1098">
        <v>1</v>
      </c>
      <c r="H1098">
        <v>1</v>
      </c>
      <c r="I1098" t="s">
        <v>97</v>
      </c>
      <c r="J1098" s="32">
        <v>219.95</v>
      </c>
      <c r="K1098" s="32">
        <v>659.85</v>
      </c>
      <c r="L1098">
        <v>0</v>
      </c>
      <c r="N1098">
        <v>0</v>
      </c>
      <c r="Q1098" t="s">
        <v>291</v>
      </c>
      <c r="R1098" s="32">
        <v>439.95</v>
      </c>
      <c r="S1098">
        <v>13.5</v>
      </c>
      <c r="T1098">
        <v>65</v>
      </c>
      <c r="U1098">
        <v>65</v>
      </c>
      <c r="W1098">
        <v>19.84</v>
      </c>
      <c r="X1098">
        <v>1</v>
      </c>
      <c r="Y1098">
        <v>10.5</v>
      </c>
      <c r="Z1098">
        <v>39.630000000000003</v>
      </c>
      <c r="AA1098">
        <v>10.5</v>
      </c>
      <c r="AB1098">
        <v>2.528</v>
      </c>
      <c r="AC1098">
        <v>22.49</v>
      </c>
      <c r="AK1098" t="s">
        <v>98</v>
      </c>
      <c r="AM1098" t="s">
        <v>98</v>
      </c>
      <c r="AN1098" t="s">
        <v>291</v>
      </c>
      <c r="AO1098" t="s">
        <v>98</v>
      </c>
      <c r="AP1098" t="s">
        <v>99</v>
      </c>
      <c r="AQ1098" t="s">
        <v>102</v>
      </c>
      <c r="AV1098" t="s">
        <v>98</v>
      </c>
      <c r="AX1098" t="s">
        <v>159</v>
      </c>
      <c r="AZ1098" t="s">
        <v>535</v>
      </c>
      <c r="BF1098" t="s">
        <v>3607</v>
      </c>
      <c r="BG1098" t="s">
        <v>98</v>
      </c>
      <c r="BH1098" t="s">
        <v>98</v>
      </c>
      <c r="BI1098" t="s">
        <v>98</v>
      </c>
      <c r="BJ1098" t="s">
        <v>291</v>
      </c>
      <c r="BK1098" t="s">
        <v>292</v>
      </c>
      <c r="BU1098">
        <v>6</v>
      </c>
      <c r="BW1098">
        <v>0.75</v>
      </c>
      <c r="BX1098" t="s">
        <v>3564</v>
      </c>
      <c r="BZ1098" t="s">
        <v>441</v>
      </c>
      <c r="CA1098" t="s">
        <v>3608</v>
      </c>
      <c r="CB1098" t="s">
        <v>159</v>
      </c>
      <c r="CC1098">
        <v>130</v>
      </c>
      <c r="CD1098">
        <v>0.62</v>
      </c>
      <c r="CE1098">
        <v>51.98</v>
      </c>
      <c r="CF1098">
        <v>9092</v>
      </c>
      <c r="CL1098" t="s">
        <v>98</v>
      </c>
      <c r="CM1098" t="s">
        <v>291</v>
      </c>
      <c r="CN1098" t="s">
        <v>3609</v>
      </c>
      <c r="CO1098" s="1">
        <v>43007</v>
      </c>
      <c r="CP1098" s="1">
        <v>43605</v>
      </c>
    </row>
    <row r="1099" spans="1:94" x14ac:dyDescent="0.25">
      <c r="A1099" s="4" t="s">
        <v>3610</v>
      </c>
      <c r="B1099" t="str">
        <f xml:space="preserve"> "" &amp; 706411060755</f>
        <v>706411060755</v>
      </c>
      <c r="C1099" t="s">
        <v>3604</v>
      </c>
      <c r="D1099" t="s">
        <v>3605</v>
      </c>
      <c r="E1099" t="s">
        <v>3611</v>
      </c>
      <c r="F1099" t="s">
        <v>2113</v>
      </c>
      <c r="G1099">
        <v>1</v>
      </c>
      <c r="H1099">
        <v>1</v>
      </c>
      <c r="I1099" t="s">
        <v>97</v>
      </c>
      <c r="J1099" s="32">
        <v>219.95</v>
      </c>
      <c r="K1099" s="32">
        <v>659.85</v>
      </c>
      <c r="L1099">
        <v>0</v>
      </c>
      <c r="N1099">
        <v>0</v>
      </c>
      <c r="Q1099" t="s">
        <v>291</v>
      </c>
      <c r="R1099" s="32">
        <v>439.95</v>
      </c>
      <c r="S1099">
        <v>13.5</v>
      </c>
      <c r="T1099">
        <v>65</v>
      </c>
      <c r="U1099">
        <v>65</v>
      </c>
      <c r="W1099">
        <v>19.84</v>
      </c>
      <c r="X1099">
        <v>1</v>
      </c>
      <c r="Y1099">
        <v>10.5</v>
      </c>
      <c r="Z1099">
        <v>39.630000000000003</v>
      </c>
      <c r="AA1099">
        <v>10.5</v>
      </c>
      <c r="AB1099">
        <v>2.528</v>
      </c>
      <c r="AC1099">
        <v>22.49</v>
      </c>
      <c r="AK1099" t="s">
        <v>98</v>
      </c>
      <c r="AM1099" t="s">
        <v>98</v>
      </c>
      <c r="AN1099" t="s">
        <v>291</v>
      </c>
      <c r="AO1099" t="s">
        <v>98</v>
      </c>
      <c r="AP1099" t="s">
        <v>99</v>
      </c>
      <c r="AQ1099" t="s">
        <v>102</v>
      </c>
      <c r="AV1099" t="s">
        <v>98</v>
      </c>
      <c r="AX1099" t="s">
        <v>179</v>
      </c>
      <c r="AZ1099" t="s">
        <v>535</v>
      </c>
      <c r="BF1099" t="s">
        <v>3612</v>
      </c>
      <c r="BG1099" t="s">
        <v>98</v>
      </c>
      <c r="BH1099" t="s">
        <v>98</v>
      </c>
      <c r="BI1099" t="s">
        <v>98</v>
      </c>
      <c r="BJ1099" t="s">
        <v>291</v>
      </c>
      <c r="BK1099" t="s">
        <v>292</v>
      </c>
      <c r="BU1099">
        <v>6</v>
      </c>
      <c r="BW1099">
        <v>0.75</v>
      </c>
      <c r="BX1099" t="s">
        <v>3613</v>
      </c>
      <c r="BZ1099" t="s">
        <v>179</v>
      </c>
      <c r="CA1099" t="s">
        <v>3608</v>
      </c>
      <c r="CB1099" t="s">
        <v>179</v>
      </c>
      <c r="CC1099">
        <v>130</v>
      </c>
      <c r="CD1099">
        <v>0.62</v>
      </c>
      <c r="CE1099">
        <v>51.98</v>
      </c>
      <c r="CF1099">
        <v>9092</v>
      </c>
      <c r="CL1099" t="s">
        <v>98</v>
      </c>
      <c r="CM1099" t="s">
        <v>291</v>
      </c>
      <c r="CN1099" t="s">
        <v>3609</v>
      </c>
      <c r="CO1099" s="1">
        <v>43256</v>
      </c>
      <c r="CP1099" s="1">
        <v>43607</v>
      </c>
    </row>
    <row r="1100" spans="1:94" x14ac:dyDescent="0.25">
      <c r="A1100" s="4" t="s">
        <v>3614</v>
      </c>
      <c r="B1100" t="str">
        <f xml:space="preserve"> "" &amp; 706411058554</f>
        <v>706411058554</v>
      </c>
      <c r="C1100" t="s">
        <v>3604</v>
      </c>
      <c r="D1100" t="s">
        <v>3605</v>
      </c>
      <c r="E1100" t="s">
        <v>3611</v>
      </c>
      <c r="F1100" t="s">
        <v>2113</v>
      </c>
      <c r="G1100">
        <v>1</v>
      </c>
      <c r="H1100">
        <v>1</v>
      </c>
      <c r="I1100" t="s">
        <v>97</v>
      </c>
      <c r="J1100" s="32">
        <v>219.95</v>
      </c>
      <c r="K1100" s="32">
        <v>659.85</v>
      </c>
      <c r="L1100">
        <v>0</v>
      </c>
      <c r="N1100">
        <v>0</v>
      </c>
      <c r="Q1100" t="s">
        <v>291</v>
      </c>
      <c r="R1100" s="32">
        <v>439.95</v>
      </c>
      <c r="S1100">
        <v>13.5</v>
      </c>
      <c r="T1100">
        <v>65</v>
      </c>
      <c r="U1100">
        <v>65</v>
      </c>
      <c r="W1100">
        <v>19.84</v>
      </c>
      <c r="X1100">
        <v>1</v>
      </c>
      <c r="Y1100">
        <v>10.5</v>
      </c>
      <c r="Z1100">
        <v>39.630000000000003</v>
      </c>
      <c r="AA1100">
        <v>10.5</v>
      </c>
      <c r="AB1100">
        <v>2.528</v>
      </c>
      <c r="AC1100">
        <v>22.49</v>
      </c>
      <c r="AK1100" t="s">
        <v>98</v>
      </c>
      <c r="AM1100" t="s">
        <v>98</v>
      </c>
      <c r="AN1100" t="s">
        <v>291</v>
      </c>
      <c r="AO1100" t="s">
        <v>98</v>
      </c>
      <c r="AP1100" t="s">
        <v>99</v>
      </c>
      <c r="AQ1100" t="s">
        <v>102</v>
      </c>
      <c r="AV1100" t="s">
        <v>98</v>
      </c>
      <c r="AX1100" t="s">
        <v>245</v>
      </c>
      <c r="AZ1100" t="s">
        <v>535</v>
      </c>
      <c r="BF1100" t="s">
        <v>3615</v>
      </c>
      <c r="BG1100" t="s">
        <v>98</v>
      </c>
      <c r="BH1100" t="s">
        <v>98</v>
      </c>
      <c r="BI1100" t="s">
        <v>98</v>
      </c>
      <c r="BJ1100" t="s">
        <v>291</v>
      </c>
      <c r="BK1100" t="s">
        <v>292</v>
      </c>
      <c r="BU1100">
        <v>6</v>
      </c>
      <c r="BW1100">
        <v>0.75</v>
      </c>
      <c r="BX1100" t="s">
        <v>3613</v>
      </c>
      <c r="BZ1100" t="s">
        <v>245</v>
      </c>
      <c r="CA1100" t="s">
        <v>3608</v>
      </c>
      <c r="CB1100" t="s">
        <v>245</v>
      </c>
      <c r="CC1100">
        <v>130</v>
      </c>
      <c r="CD1100">
        <v>0.62</v>
      </c>
      <c r="CE1100">
        <v>51.98</v>
      </c>
      <c r="CF1100">
        <v>9092</v>
      </c>
      <c r="CL1100" t="s">
        <v>98</v>
      </c>
      <c r="CM1100" t="s">
        <v>291</v>
      </c>
      <c r="CN1100" t="s">
        <v>3609</v>
      </c>
      <c r="CO1100" s="1">
        <v>43007</v>
      </c>
      <c r="CP1100" s="1">
        <v>43616</v>
      </c>
    </row>
    <row r="1101" spans="1:94" x14ac:dyDescent="0.25">
      <c r="A1101" s="4" t="s">
        <v>3616</v>
      </c>
      <c r="B1101" t="str">
        <f xml:space="preserve"> "" &amp; 706411058561</f>
        <v>706411058561</v>
      </c>
      <c r="C1101" t="s">
        <v>3604</v>
      </c>
      <c r="D1101" t="s">
        <v>3605</v>
      </c>
      <c r="E1101" t="s">
        <v>3611</v>
      </c>
      <c r="F1101" t="s">
        <v>2113</v>
      </c>
      <c r="G1101">
        <v>1</v>
      </c>
      <c r="H1101">
        <v>1</v>
      </c>
      <c r="I1101" t="s">
        <v>97</v>
      </c>
      <c r="J1101" s="32">
        <v>219.95</v>
      </c>
      <c r="K1101" s="32">
        <v>659.85</v>
      </c>
      <c r="L1101">
        <v>0</v>
      </c>
      <c r="N1101">
        <v>0</v>
      </c>
      <c r="Q1101" t="s">
        <v>291</v>
      </c>
      <c r="R1101" s="32">
        <v>439.95</v>
      </c>
      <c r="S1101">
        <v>13.5</v>
      </c>
      <c r="T1101">
        <v>65</v>
      </c>
      <c r="U1101">
        <v>65</v>
      </c>
      <c r="W1101">
        <v>19.84</v>
      </c>
      <c r="X1101">
        <v>1</v>
      </c>
      <c r="Y1101">
        <v>10.5</v>
      </c>
      <c r="Z1101">
        <v>39.630000000000003</v>
      </c>
      <c r="AA1101">
        <v>10.5</v>
      </c>
      <c r="AB1101">
        <v>2.528</v>
      </c>
      <c r="AC1101">
        <v>22.49</v>
      </c>
      <c r="AK1101" t="s">
        <v>98</v>
      </c>
      <c r="AM1101" t="s">
        <v>98</v>
      </c>
      <c r="AN1101" t="s">
        <v>291</v>
      </c>
      <c r="AO1101" t="s">
        <v>98</v>
      </c>
      <c r="AP1101" t="s">
        <v>99</v>
      </c>
      <c r="AQ1101" t="s">
        <v>102</v>
      </c>
      <c r="AV1101" t="s">
        <v>98</v>
      </c>
      <c r="AX1101" t="s">
        <v>306</v>
      </c>
      <c r="AZ1101" t="s">
        <v>535</v>
      </c>
      <c r="BF1101" t="s">
        <v>3617</v>
      </c>
      <c r="BG1101" t="s">
        <v>98</v>
      </c>
      <c r="BH1101" t="s">
        <v>98</v>
      </c>
      <c r="BI1101" t="s">
        <v>98</v>
      </c>
      <c r="BJ1101" t="s">
        <v>291</v>
      </c>
      <c r="BK1101" t="s">
        <v>292</v>
      </c>
      <c r="BU1101">
        <v>6</v>
      </c>
      <c r="BW1101">
        <v>0.75</v>
      </c>
      <c r="BX1101" t="s">
        <v>3613</v>
      </c>
      <c r="BZ1101" t="s">
        <v>306</v>
      </c>
      <c r="CA1101" t="s">
        <v>3608</v>
      </c>
      <c r="CB1101" t="s">
        <v>306</v>
      </c>
      <c r="CC1101">
        <v>130</v>
      </c>
      <c r="CD1101">
        <v>0.62</v>
      </c>
      <c r="CE1101">
        <v>51.98</v>
      </c>
      <c r="CF1101">
        <v>9092</v>
      </c>
      <c r="CL1101" t="s">
        <v>98</v>
      </c>
      <c r="CM1101" t="s">
        <v>291</v>
      </c>
      <c r="CN1101" t="s">
        <v>3609</v>
      </c>
      <c r="CO1101" s="1">
        <v>43007</v>
      </c>
      <c r="CP1101" s="1">
        <v>43605</v>
      </c>
    </row>
    <row r="1102" spans="1:94" x14ac:dyDescent="0.25">
      <c r="A1102" s="4" t="s">
        <v>3618</v>
      </c>
      <c r="B1102" t="str">
        <f xml:space="preserve"> "" &amp; 706411058424</f>
        <v>706411058424</v>
      </c>
      <c r="C1102" t="s">
        <v>3619</v>
      </c>
      <c r="D1102" t="s">
        <v>3620</v>
      </c>
      <c r="E1102" t="s">
        <v>3621</v>
      </c>
      <c r="F1102" t="s">
        <v>2113</v>
      </c>
      <c r="G1102">
        <v>1</v>
      </c>
      <c r="H1102">
        <v>1</v>
      </c>
      <c r="I1102" t="s">
        <v>97</v>
      </c>
      <c r="J1102" s="32">
        <v>244.95</v>
      </c>
      <c r="K1102" s="32">
        <v>734.85</v>
      </c>
      <c r="L1102">
        <v>0</v>
      </c>
      <c r="N1102">
        <v>0</v>
      </c>
      <c r="Q1102" t="s">
        <v>291</v>
      </c>
      <c r="R1102" s="32">
        <v>489.95</v>
      </c>
      <c r="S1102">
        <v>13.5</v>
      </c>
      <c r="T1102">
        <v>84</v>
      </c>
      <c r="U1102">
        <v>84</v>
      </c>
      <c r="W1102">
        <v>22.31</v>
      </c>
      <c r="X1102">
        <v>1</v>
      </c>
      <c r="Y1102">
        <v>10.5</v>
      </c>
      <c r="Z1102">
        <v>39.630000000000003</v>
      </c>
      <c r="AA1102">
        <v>10.5</v>
      </c>
      <c r="AB1102">
        <v>2.528</v>
      </c>
      <c r="AC1102">
        <v>25.68</v>
      </c>
      <c r="AK1102" t="s">
        <v>98</v>
      </c>
      <c r="AM1102" t="s">
        <v>98</v>
      </c>
      <c r="AN1102" t="s">
        <v>291</v>
      </c>
      <c r="AO1102" t="s">
        <v>98</v>
      </c>
      <c r="AP1102" t="s">
        <v>99</v>
      </c>
      <c r="AQ1102" t="s">
        <v>102</v>
      </c>
      <c r="AV1102" t="s">
        <v>98</v>
      </c>
      <c r="AX1102" t="s">
        <v>159</v>
      </c>
      <c r="AZ1102" t="s">
        <v>535</v>
      </c>
      <c r="BF1102" t="s">
        <v>3622</v>
      </c>
      <c r="BG1102" t="s">
        <v>98</v>
      </c>
      <c r="BH1102" t="s">
        <v>98</v>
      </c>
      <c r="BI1102" t="s">
        <v>98</v>
      </c>
      <c r="BJ1102" t="s">
        <v>291</v>
      </c>
      <c r="BK1102" t="s">
        <v>292</v>
      </c>
      <c r="BU1102">
        <v>6</v>
      </c>
      <c r="BW1102">
        <v>0.75</v>
      </c>
      <c r="BX1102" t="s">
        <v>3613</v>
      </c>
      <c r="BZ1102" t="s">
        <v>441</v>
      </c>
      <c r="CA1102" t="s">
        <v>3608</v>
      </c>
      <c r="CB1102" t="s">
        <v>159</v>
      </c>
      <c r="CC1102">
        <v>79</v>
      </c>
      <c r="CD1102">
        <v>0.56000000000000005</v>
      </c>
      <c r="CE1102">
        <v>47.64</v>
      </c>
      <c r="CF1102">
        <v>11157</v>
      </c>
      <c r="CL1102" t="s">
        <v>98</v>
      </c>
      <c r="CM1102" t="s">
        <v>291</v>
      </c>
      <c r="CN1102" t="s">
        <v>3623</v>
      </c>
      <c r="CO1102" s="1">
        <v>42977</v>
      </c>
      <c r="CP1102" s="1">
        <v>43605</v>
      </c>
    </row>
    <row r="1103" spans="1:94" x14ac:dyDescent="0.25">
      <c r="A1103" s="4" t="s">
        <v>3624</v>
      </c>
      <c r="B1103" t="str">
        <f xml:space="preserve"> "" &amp; 706411058417</f>
        <v>706411058417</v>
      </c>
      <c r="C1103" t="s">
        <v>3619</v>
      </c>
      <c r="D1103" t="s">
        <v>3620</v>
      </c>
      <c r="E1103" t="s">
        <v>3621</v>
      </c>
      <c r="F1103" t="s">
        <v>2113</v>
      </c>
      <c r="G1103">
        <v>1</v>
      </c>
      <c r="H1103">
        <v>1</v>
      </c>
      <c r="I1103" t="s">
        <v>97</v>
      </c>
      <c r="J1103" s="32">
        <v>244.95</v>
      </c>
      <c r="K1103" s="32">
        <v>734.85</v>
      </c>
      <c r="L1103">
        <v>0</v>
      </c>
      <c r="N1103">
        <v>0</v>
      </c>
      <c r="Q1103" t="s">
        <v>291</v>
      </c>
      <c r="R1103" s="32">
        <v>489.95</v>
      </c>
      <c r="S1103">
        <v>13.5</v>
      </c>
      <c r="T1103">
        <v>84</v>
      </c>
      <c r="U1103">
        <v>84</v>
      </c>
      <c r="W1103">
        <v>22.31</v>
      </c>
      <c r="X1103">
        <v>1</v>
      </c>
      <c r="Y1103">
        <v>10.5</v>
      </c>
      <c r="Z1103">
        <v>39.630000000000003</v>
      </c>
      <c r="AA1103">
        <v>10.5</v>
      </c>
      <c r="AB1103">
        <v>2.528</v>
      </c>
      <c r="AC1103">
        <v>25.68</v>
      </c>
      <c r="AK1103" t="s">
        <v>98</v>
      </c>
      <c r="AM1103" t="s">
        <v>98</v>
      </c>
      <c r="AN1103" t="s">
        <v>291</v>
      </c>
      <c r="AO1103" t="s">
        <v>98</v>
      </c>
      <c r="AP1103" t="s">
        <v>99</v>
      </c>
      <c r="AQ1103" t="s">
        <v>102</v>
      </c>
      <c r="AV1103" t="s">
        <v>98</v>
      </c>
      <c r="AX1103" t="s">
        <v>245</v>
      </c>
      <c r="AZ1103" t="s">
        <v>535</v>
      </c>
      <c r="BF1103" t="s">
        <v>3625</v>
      </c>
      <c r="BG1103" t="s">
        <v>98</v>
      </c>
      <c r="BH1103" t="s">
        <v>98</v>
      </c>
      <c r="BI1103" t="s">
        <v>98</v>
      </c>
      <c r="BJ1103" t="s">
        <v>291</v>
      </c>
      <c r="BK1103" t="s">
        <v>292</v>
      </c>
      <c r="BU1103">
        <v>6</v>
      </c>
      <c r="BW1103">
        <v>0.75</v>
      </c>
      <c r="BX1103" t="s">
        <v>3613</v>
      </c>
      <c r="BZ1103" t="s">
        <v>245</v>
      </c>
      <c r="CA1103" t="s">
        <v>3608</v>
      </c>
      <c r="CB1103" t="s">
        <v>245</v>
      </c>
      <c r="CC1103">
        <v>79</v>
      </c>
      <c r="CD1103">
        <v>0.56000000000000005</v>
      </c>
      <c r="CE1103">
        <v>47.64</v>
      </c>
      <c r="CF1103">
        <v>11157</v>
      </c>
      <c r="CL1103" t="s">
        <v>98</v>
      </c>
      <c r="CM1103" t="s">
        <v>291</v>
      </c>
      <c r="CN1103" t="s">
        <v>3623</v>
      </c>
      <c r="CO1103" s="1">
        <v>42977</v>
      </c>
      <c r="CP1103" s="1">
        <v>43605</v>
      </c>
    </row>
    <row r="1104" spans="1:94" x14ac:dyDescent="0.25">
      <c r="A1104" s="4" t="s">
        <v>3626</v>
      </c>
      <c r="B1104" t="str">
        <f xml:space="preserve"> "" &amp; 706411058530</f>
        <v>706411058530</v>
      </c>
      <c r="C1104" t="s">
        <v>3619</v>
      </c>
      <c r="D1104" t="s">
        <v>3620</v>
      </c>
      <c r="E1104" t="s">
        <v>3621</v>
      </c>
      <c r="F1104" t="s">
        <v>2113</v>
      </c>
      <c r="G1104">
        <v>1</v>
      </c>
      <c r="H1104">
        <v>1</v>
      </c>
      <c r="I1104" t="s">
        <v>97</v>
      </c>
      <c r="J1104" s="32">
        <v>244.95</v>
      </c>
      <c r="K1104" s="32">
        <v>734.85</v>
      </c>
      <c r="L1104">
        <v>0</v>
      </c>
      <c r="N1104">
        <v>0</v>
      </c>
      <c r="Q1104" t="s">
        <v>291</v>
      </c>
      <c r="R1104" s="32">
        <v>489.95</v>
      </c>
      <c r="S1104">
        <v>13.5</v>
      </c>
      <c r="T1104">
        <v>84</v>
      </c>
      <c r="U1104">
        <v>84</v>
      </c>
      <c r="W1104">
        <v>22.31</v>
      </c>
      <c r="X1104">
        <v>1</v>
      </c>
      <c r="AB1104">
        <v>2.528</v>
      </c>
      <c r="AC1104">
        <v>25.68</v>
      </c>
      <c r="AK1104" t="s">
        <v>98</v>
      </c>
      <c r="AM1104" t="s">
        <v>98</v>
      </c>
      <c r="AN1104" t="s">
        <v>291</v>
      </c>
      <c r="AO1104" t="s">
        <v>98</v>
      </c>
      <c r="AP1104" t="s">
        <v>99</v>
      </c>
      <c r="AQ1104" t="s">
        <v>102</v>
      </c>
      <c r="AV1104" t="s">
        <v>98</v>
      </c>
      <c r="AX1104" t="s">
        <v>269</v>
      </c>
      <c r="AZ1104" t="s">
        <v>535</v>
      </c>
      <c r="BF1104" t="s">
        <v>3627</v>
      </c>
      <c r="BG1104" t="s">
        <v>98</v>
      </c>
      <c r="BH1104" t="s">
        <v>98</v>
      </c>
      <c r="BI1104" t="s">
        <v>98</v>
      </c>
      <c r="BJ1104" t="s">
        <v>291</v>
      </c>
      <c r="BK1104" t="s">
        <v>292</v>
      </c>
      <c r="BU1104">
        <v>6</v>
      </c>
      <c r="BW1104">
        <v>0.75</v>
      </c>
      <c r="BX1104" t="s">
        <v>3613</v>
      </c>
      <c r="BZ1104" t="s">
        <v>269</v>
      </c>
      <c r="CA1104" t="s">
        <v>3608</v>
      </c>
      <c r="CB1104" t="s">
        <v>269</v>
      </c>
      <c r="CC1104">
        <v>79</v>
      </c>
      <c r="CD1104">
        <v>0.56000000000000005</v>
      </c>
      <c r="CE1104">
        <v>47.64</v>
      </c>
      <c r="CF1104">
        <v>11157</v>
      </c>
      <c r="CL1104" t="s">
        <v>98</v>
      </c>
      <c r="CM1104" t="s">
        <v>291</v>
      </c>
      <c r="CN1104" t="s">
        <v>3623</v>
      </c>
      <c r="CO1104" s="1">
        <v>42977</v>
      </c>
      <c r="CP1104" s="1">
        <v>43605</v>
      </c>
    </row>
    <row r="1105" spans="1:94" x14ac:dyDescent="0.25">
      <c r="A1105" s="4" t="s">
        <v>3628</v>
      </c>
      <c r="B1105" t="str">
        <f xml:space="preserve"> "" &amp; 706411054334</f>
        <v>706411054334</v>
      </c>
      <c r="C1105" t="s">
        <v>3629</v>
      </c>
      <c r="D1105" t="s">
        <v>3630</v>
      </c>
      <c r="E1105" t="s">
        <v>3631</v>
      </c>
      <c r="F1105" t="s">
        <v>2113</v>
      </c>
      <c r="G1105">
        <v>1</v>
      </c>
      <c r="H1105">
        <v>1</v>
      </c>
      <c r="I1105" t="s">
        <v>97</v>
      </c>
      <c r="J1105" s="32">
        <v>449.99</v>
      </c>
      <c r="K1105" s="32">
        <v>1349.97</v>
      </c>
      <c r="L1105">
        <v>0</v>
      </c>
      <c r="N1105">
        <v>0</v>
      </c>
      <c r="Q1105" t="s">
        <v>291</v>
      </c>
      <c r="R1105" s="32">
        <v>899.99</v>
      </c>
      <c r="S1105">
        <v>12.5</v>
      </c>
      <c r="T1105">
        <v>99</v>
      </c>
      <c r="U1105">
        <v>99</v>
      </c>
      <c r="W1105">
        <v>35.49</v>
      </c>
      <c r="X1105">
        <v>1</v>
      </c>
      <c r="Y1105">
        <v>14.13</v>
      </c>
      <c r="Z1105">
        <v>47.75</v>
      </c>
      <c r="AA1105">
        <v>24.25</v>
      </c>
      <c r="AB1105">
        <v>9.4689999999999994</v>
      </c>
      <c r="AC1105">
        <v>47.2</v>
      </c>
      <c r="AE1105">
        <v>1</v>
      </c>
      <c r="AF1105" t="s">
        <v>2141</v>
      </c>
      <c r="AG1105">
        <v>26</v>
      </c>
      <c r="AK1105" t="s">
        <v>291</v>
      </c>
      <c r="AM1105" t="s">
        <v>98</v>
      </c>
      <c r="AN1105" t="s">
        <v>291</v>
      </c>
      <c r="AO1105" t="s">
        <v>98</v>
      </c>
      <c r="AP1105" t="s">
        <v>99</v>
      </c>
      <c r="AQ1105" t="s">
        <v>102</v>
      </c>
      <c r="AV1105" t="s">
        <v>98</v>
      </c>
      <c r="AX1105" t="s">
        <v>2129</v>
      </c>
      <c r="AZ1105" t="s">
        <v>535</v>
      </c>
      <c r="BB1105" t="s">
        <v>106</v>
      </c>
      <c r="BC1105" t="s">
        <v>2152</v>
      </c>
      <c r="BF1105" t="s">
        <v>3632</v>
      </c>
      <c r="BG1105" t="s">
        <v>98</v>
      </c>
      <c r="BH1105" t="s">
        <v>98</v>
      </c>
      <c r="BI1105" t="s">
        <v>98</v>
      </c>
      <c r="BK1105" t="s">
        <v>138</v>
      </c>
      <c r="BU1105">
        <v>6</v>
      </c>
      <c r="BW1105">
        <v>0.75</v>
      </c>
      <c r="BX1105" t="s">
        <v>3212</v>
      </c>
      <c r="BY1105" t="s">
        <v>291</v>
      </c>
      <c r="BZ1105" t="s">
        <v>441</v>
      </c>
      <c r="CA1105" t="s">
        <v>3633</v>
      </c>
      <c r="CB1105" t="s">
        <v>2129</v>
      </c>
      <c r="CC1105">
        <v>83</v>
      </c>
      <c r="CD1105">
        <v>0.54</v>
      </c>
      <c r="CE1105">
        <v>45.2</v>
      </c>
      <c r="CF1105">
        <v>13350</v>
      </c>
      <c r="CG1105">
        <v>3000</v>
      </c>
      <c r="CH1105">
        <v>83</v>
      </c>
      <c r="CI1105">
        <v>2223</v>
      </c>
      <c r="CJ1105">
        <v>956</v>
      </c>
      <c r="CK1105">
        <v>30000</v>
      </c>
      <c r="CL1105" t="s">
        <v>291</v>
      </c>
      <c r="CM1105" t="s">
        <v>291</v>
      </c>
      <c r="CN1105" t="s">
        <v>3634</v>
      </c>
      <c r="CO1105" s="1">
        <v>42458</v>
      </c>
      <c r="CP1105" s="1">
        <v>43595</v>
      </c>
    </row>
    <row r="1106" spans="1:94" x14ac:dyDescent="0.25">
      <c r="A1106" s="4" t="s">
        <v>3635</v>
      </c>
      <c r="B1106" t="str">
        <f xml:space="preserve"> "" &amp; 706411054358</f>
        <v>706411054358</v>
      </c>
      <c r="C1106" t="s">
        <v>3629</v>
      </c>
      <c r="D1106" t="s">
        <v>3630</v>
      </c>
      <c r="E1106" t="s">
        <v>3631</v>
      </c>
      <c r="F1106" t="s">
        <v>2113</v>
      </c>
      <c r="G1106">
        <v>1</v>
      </c>
      <c r="H1106">
        <v>1</v>
      </c>
      <c r="I1106" t="s">
        <v>97</v>
      </c>
      <c r="J1106" s="32">
        <v>449.99</v>
      </c>
      <c r="K1106" s="32">
        <v>1349.97</v>
      </c>
      <c r="L1106">
        <v>0</v>
      </c>
      <c r="N1106">
        <v>0</v>
      </c>
      <c r="Q1106" t="s">
        <v>291</v>
      </c>
      <c r="R1106" s="32">
        <v>899.99</v>
      </c>
      <c r="S1106">
        <v>12.5</v>
      </c>
      <c r="T1106">
        <v>99</v>
      </c>
      <c r="U1106">
        <v>99</v>
      </c>
      <c r="W1106">
        <v>35.49</v>
      </c>
      <c r="X1106">
        <v>1</v>
      </c>
      <c r="Y1106">
        <v>14.13</v>
      </c>
      <c r="Z1106">
        <v>47.75</v>
      </c>
      <c r="AA1106">
        <v>24.25</v>
      </c>
      <c r="AB1106">
        <v>9.4689999999999994</v>
      </c>
      <c r="AC1106">
        <v>47.2</v>
      </c>
      <c r="AE1106">
        <v>1</v>
      </c>
      <c r="AF1106" t="s">
        <v>2141</v>
      </c>
      <c r="AG1106">
        <v>26</v>
      </c>
      <c r="AK1106" t="s">
        <v>291</v>
      </c>
      <c r="AM1106" t="s">
        <v>98</v>
      </c>
      <c r="AN1106" t="s">
        <v>291</v>
      </c>
      <c r="AO1106" t="s">
        <v>98</v>
      </c>
      <c r="AP1106" t="s">
        <v>99</v>
      </c>
      <c r="AQ1106" t="s">
        <v>102</v>
      </c>
      <c r="AV1106" t="s">
        <v>98</v>
      </c>
      <c r="AX1106" t="s">
        <v>703</v>
      </c>
      <c r="AZ1106" t="s">
        <v>535</v>
      </c>
      <c r="BB1106" t="s">
        <v>106</v>
      </c>
      <c r="BC1106" t="s">
        <v>2152</v>
      </c>
      <c r="BF1106" t="s">
        <v>3636</v>
      </c>
      <c r="BG1106" t="s">
        <v>98</v>
      </c>
      <c r="BH1106" t="s">
        <v>98</v>
      </c>
      <c r="BI1106" t="s">
        <v>98</v>
      </c>
      <c r="BK1106" t="s">
        <v>138</v>
      </c>
      <c r="BU1106">
        <v>6</v>
      </c>
      <c r="BW1106">
        <v>0.75</v>
      </c>
      <c r="BX1106" t="s">
        <v>3212</v>
      </c>
      <c r="BY1106" t="s">
        <v>291</v>
      </c>
      <c r="BZ1106" t="s">
        <v>703</v>
      </c>
      <c r="CA1106" t="s">
        <v>3633</v>
      </c>
      <c r="CB1106" t="s">
        <v>703</v>
      </c>
      <c r="CC1106">
        <v>83</v>
      </c>
      <c r="CD1106">
        <v>0.54</v>
      </c>
      <c r="CE1106">
        <v>45.2</v>
      </c>
      <c r="CF1106">
        <v>13350</v>
      </c>
      <c r="CG1106">
        <v>3000</v>
      </c>
      <c r="CH1106">
        <v>83</v>
      </c>
      <c r="CI1106">
        <v>2223</v>
      </c>
      <c r="CJ1106">
        <v>956</v>
      </c>
      <c r="CK1106">
        <v>30000</v>
      </c>
      <c r="CL1106" t="s">
        <v>291</v>
      </c>
      <c r="CM1106" t="s">
        <v>291</v>
      </c>
      <c r="CN1106" t="s">
        <v>3634</v>
      </c>
      <c r="CO1106" s="1">
        <v>42458</v>
      </c>
      <c r="CP1106" s="1">
        <v>43595</v>
      </c>
    </row>
    <row r="1107" spans="1:94" x14ac:dyDescent="0.25">
      <c r="A1107" s="4" t="s">
        <v>3637</v>
      </c>
      <c r="B1107" t="str">
        <f xml:space="preserve"> "" &amp; 706411054341</f>
        <v>706411054341</v>
      </c>
      <c r="C1107" t="s">
        <v>3629</v>
      </c>
      <c r="D1107" t="s">
        <v>3630</v>
      </c>
      <c r="E1107" t="s">
        <v>3631</v>
      </c>
      <c r="F1107" t="s">
        <v>2113</v>
      </c>
      <c r="G1107">
        <v>1</v>
      </c>
      <c r="H1107">
        <v>1</v>
      </c>
      <c r="I1107" t="s">
        <v>97</v>
      </c>
      <c r="J1107" s="32">
        <v>449.99</v>
      </c>
      <c r="K1107" s="32">
        <v>1349.97</v>
      </c>
      <c r="L1107">
        <v>0</v>
      </c>
      <c r="N1107">
        <v>0</v>
      </c>
      <c r="Q1107" t="s">
        <v>291</v>
      </c>
      <c r="R1107" s="32">
        <v>899.99</v>
      </c>
      <c r="S1107">
        <v>12.5</v>
      </c>
      <c r="T1107">
        <v>99</v>
      </c>
      <c r="U1107">
        <v>99</v>
      </c>
      <c r="W1107">
        <v>35.49</v>
      </c>
      <c r="X1107">
        <v>1</v>
      </c>
      <c r="Y1107">
        <v>14.13</v>
      </c>
      <c r="Z1107">
        <v>47.75</v>
      </c>
      <c r="AA1107">
        <v>24.25</v>
      </c>
      <c r="AB1107">
        <v>9.4689999999999994</v>
      </c>
      <c r="AC1107">
        <v>53.81</v>
      </c>
      <c r="AE1107">
        <v>1</v>
      </c>
      <c r="AF1107" t="s">
        <v>2141</v>
      </c>
      <c r="AG1107">
        <v>26</v>
      </c>
      <c r="AK1107" t="s">
        <v>291</v>
      </c>
      <c r="AM1107" t="s">
        <v>98</v>
      </c>
      <c r="AN1107" t="s">
        <v>291</v>
      </c>
      <c r="AO1107" t="s">
        <v>98</v>
      </c>
      <c r="AP1107" t="s">
        <v>99</v>
      </c>
      <c r="AQ1107" t="s">
        <v>102</v>
      </c>
      <c r="AV1107" t="s">
        <v>98</v>
      </c>
      <c r="AX1107" t="s">
        <v>245</v>
      </c>
      <c r="AZ1107" t="s">
        <v>535</v>
      </c>
      <c r="BB1107" t="s">
        <v>106</v>
      </c>
      <c r="BC1107" t="s">
        <v>2152</v>
      </c>
      <c r="BF1107" t="s">
        <v>3638</v>
      </c>
      <c r="BG1107" t="s">
        <v>98</v>
      </c>
      <c r="BH1107" t="s">
        <v>98</v>
      </c>
      <c r="BI1107" t="s">
        <v>98</v>
      </c>
      <c r="BK1107" t="s">
        <v>138</v>
      </c>
      <c r="BU1107">
        <v>6</v>
      </c>
      <c r="BW1107">
        <v>0.75</v>
      </c>
      <c r="BX1107" t="s">
        <v>3212</v>
      </c>
      <c r="BY1107" t="s">
        <v>291</v>
      </c>
      <c r="BZ1107" t="s">
        <v>2786</v>
      </c>
      <c r="CA1107" t="s">
        <v>3633</v>
      </c>
      <c r="CB1107" t="s">
        <v>245</v>
      </c>
      <c r="CC1107">
        <v>83</v>
      </c>
      <c r="CD1107">
        <v>0.54</v>
      </c>
      <c r="CE1107">
        <v>45.2</v>
      </c>
      <c r="CF1107">
        <v>13350</v>
      </c>
      <c r="CG1107">
        <v>3000</v>
      </c>
      <c r="CH1107">
        <v>83</v>
      </c>
      <c r="CI1107">
        <v>2223</v>
      </c>
      <c r="CJ1107">
        <v>956</v>
      </c>
      <c r="CK1107">
        <v>30000</v>
      </c>
      <c r="CL1107" t="s">
        <v>291</v>
      </c>
      <c r="CM1107" t="s">
        <v>291</v>
      </c>
      <c r="CN1107" t="s">
        <v>3634</v>
      </c>
      <c r="CO1107" s="1">
        <v>42401</v>
      </c>
      <c r="CP1107" s="1">
        <v>43595</v>
      </c>
    </row>
    <row r="1108" spans="1:94" x14ac:dyDescent="0.25">
      <c r="A1108" s="4" t="s">
        <v>3639</v>
      </c>
      <c r="B1108" t="str">
        <f xml:space="preserve"> "" &amp; 706411029851</f>
        <v>706411029851</v>
      </c>
      <c r="C1108" t="s">
        <v>2178</v>
      </c>
      <c r="D1108" t="s">
        <v>4477</v>
      </c>
      <c r="E1108" t="str">
        <f xml:space="preserve"> "CRISTAFANO" &amp;  CHAR(153) &amp; ""</f>
        <v>CRISTAFANO™</v>
      </c>
      <c r="F1108" t="s">
        <v>2113</v>
      </c>
      <c r="G1108">
        <v>1</v>
      </c>
      <c r="H1108">
        <v>1</v>
      </c>
      <c r="I1108" t="s">
        <v>97</v>
      </c>
      <c r="J1108" s="32">
        <v>329.95</v>
      </c>
      <c r="K1108" s="32">
        <v>989.85</v>
      </c>
      <c r="L1108">
        <v>0</v>
      </c>
      <c r="N1108">
        <v>0</v>
      </c>
      <c r="Q1108" t="s">
        <v>291</v>
      </c>
      <c r="R1108" s="32">
        <v>579.95000000000005</v>
      </c>
      <c r="S1108">
        <v>17.25</v>
      </c>
      <c r="T1108">
        <v>68</v>
      </c>
      <c r="U1108">
        <v>68</v>
      </c>
      <c r="W1108">
        <v>41.89</v>
      </c>
      <c r="X1108">
        <v>1</v>
      </c>
      <c r="Y1108">
        <v>11.42</v>
      </c>
      <c r="Z1108">
        <v>28.54</v>
      </c>
      <c r="AA1108">
        <v>16.75</v>
      </c>
      <c r="AB1108">
        <v>3.1589999999999998</v>
      </c>
      <c r="AC1108">
        <v>48.22</v>
      </c>
      <c r="AE1108">
        <v>2</v>
      </c>
      <c r="AF1108" t="s">
        <v>3640</v>
      </c>
      <c r="AG1108">
        <v>50</v>
      </c>
      <c r="AK1108" t="s">
        <v>291</v>
      </c>
      <c r="AM1108" t="s">
        <v>98</v>
      </c>
      <c r="AN1108" t="s">
        <v>98</v>
      </c>
      <c r="AO1108" t="s">
        <v>291</v>
      </c>
      <c r="AP1108" t="s">
        <v>99</v>
      </c>
      <c r="AQ1108" t="s">
        <v>102</v>
      </c>
      <c r="AV1108" t="s">
        <v>98</v>
      </c>
      <c r="AX1108" t="s">
        <v>136</v>
      </c>
      <c r="AZ1108" t="s">
        <v>2235</v>
      </c>
      <c r="BC1108" t="s">
        <v>3641</v>
      </c>
      <c r="BD1108" t="s">
        <v>3642</v>
      </c>
      <c r="BF1108" t="s">
        <v>3643</v>
      </c>
      <c r="BG1108" t="s">
        <v>98</v>
      </c>
      <c r="BH1108" t="s">
        <v>98</v>
      </c>
      <c r="BI1108" t="s">
        <v>98</v>
      </c>
      <c r="BK1108" t="s">
        <v>138</v>
      </c>
      <c r="BU1108">
        <v>16</v>
      </c>
      <c r="BW1108">
        <v>0.75</v>
      </c>
      <c r="BX1108" t="s">
        <v>2218</v>
      </c>
      <c r="BY1108" t="s">
        <v>291</v>
      </c>
      <c r="BZ1108" t="s">
        <v>2456</v>
      </c>
      <c r="CA1108" t="s">
        <v>3644</v>
      </c>
      <c r="CB1108" t="s">
        <v>136</v>
      </c>
      <c r="CC1108">
        <v>120</v>
      </c>
      <c r="CD1108">
        <v>0.81599999999999995</v>
      </c>
      <c r="CE1108">
        <v>93.78</v>
      </c>
      <c r="CF1108">
        <v>7885</v>
      </c>
      <c r="CL1108" t="s">
        <v>291</v>
      </c>
      <c r="CM1108" t="s">
        <v>98</v>
      </c>
      <c r="CN1108" t="s">
        <v>2272</v>
      </c>
      <c r="CO1108" s="1">
        <v>38710</v>
      </c>
      <c r="CP1108" s="1">
        <v>43595</v>
      </c>
    </row>
    <row r="1109" spans="1:94" x14ac:dyDescent="0.25">
      <c r="A1109" s="4" t="s">
        <v>3645</v>
      </c>
      <c r="B1109" t="str">
        <f xml:space="preserve"> "" &amp; 706411058929</f>
        <v>706411058929</v>
      </c>
      <c r="C1109" t="s">
        <v>3347</v>
      </c>
      <c r="D1109" t="s">
        <v>3646</v>
      </c>
      <c r="E1109" t="s">
        <v>3647</v>
      </c>
      <c r="F1109" t="s">
        <v>2113</v>
      </c>
      <c r="G1109">
        <v>1</v>
      </c>
      <c r="H1109">
        <v>1</v>
      </c>
      <c r="I1109" t="s">
        <v>97</v>
      </c>
      <c r="J1109" s="32">
        <v>239.95</v>
      </c>
      <c r="K1109" s="32">
        <v>719.85</v>
      </c>
      <c r="L1109">
        <v>0</v>
      </c>
      <c r="N1109">
        <v>0</v>
      </c>
      <c r="Q1109" t="s">
        <v>291</v>
      </c>
      <c r="R1109" s="32">
        <v>479.95</v>
      </c>
      <c r="S1109">
        <v>18</v>
      </c>
      <c r="T1109">
        <v>56</v>
      </c>
      <c r="U1109">
        <v>56</v>
      </c>
      <c r="W1109">
        <v>15.45</v>
      </c>
      <c r="X1109">
        <v>1</v>
      </c>
      <c r="Y1109">
        <v>11.5</v>
      </c>
      <c r="Z1109">
        <v>26.5</v>
      </c>
      <c r="AA1109">
        <v>12.25</v>
      </c>
      <c r="AB1109">
        <v>2.16</v>
      </c>
      <c r="AC1109">
        <v>18.670000000000002</v>
      </c>
      <c r="AE1109">
        <v>3</v>
      </c>
      <c r="AF1109" t="s">
        <v>3648</v>
      </c>
      <c r="AG1109">
        <v>4</v>
      </c>
      <c r="AK1109" t="s">
        <v>291</v>
      </c>
      <c r="AM1109" t="s">
        <v>98</v>
      </c>
      <c r="AN1109" t="s">
        <v>98</v>
      </c>
      <c r="AO1109" t="s">
        <v>291</v>
      </c>
      <c r="AP1109" t="s">
        <v>99</v>
      </c>
      <c r="AQ1109" t="s">
        <v>102</v>
      </c>
      <c r="AV1109" t="s">
        <v>98</v>
      </c>
      <c r="AX1109" t="s">
        <v>175</v>
      </c>
      <c r="AZ1109" t="s">
        <v>535</v>
      </c>
      <c r="BF1109" t="s">
        <v>3649</v>
      </c>
      <c r="BG1109" t="s">
        <v>98</v>
      </c>
      <c r="BH1109" t="s">
        <v>98</v>
      </c>
      <c r="BI1109" t="s">
        <v>98</v>
      </c>
      <c r="BK1109" t="s">
        <v>138</v>
      </c>
      <c r="BU1109">
        <v>6</v>
      </c>
      <c r="BW1109">
        <v>0.75</v>
      </c>
      <c r="BX1109" t="s">
        <v>2206</v>
      </c>
      <c r="BY1109" t="s">
        <v>291</v>
      </c>
      <c r="BZ1109" t="s">
        <v>441</v>
      </c>
      <c r="CA1109" t="s">
        <v>3650</v>
      </c>
      <c r="CB1109" t="s">
        <v>175</v>
      </c>
      <c r="CC1109">
        <v>135</v>
      </c>
      <c r="CD1109">
        <v>0.4</v>
      </c>
      <c r="CE1109">
        <v>29.4</v>
      </c>
      <c r="CF1109">
        <v>5274</v>
      </c>
      <c r="CG1109">
        <v>2700</v>
      </c>
      <c r="CH1109">
        <v>85</v>
      </c>
      <c r="CI1109">
        <v>885</v>
      </c>
      <c r="CJ1109">
        <v>747</v>
      </c>
      <c r="CK1109">
        <v>30000</v>
      </c>
      <c r="CL1109" t="s">
        <v>291</v>
      </c>
      <c r="CM1109" t="s">
        <v>291</v>
      </c>
      <c r="CN1109" t="s">
        <v>3651</v>
      </c>
      <c r="CO1109" s="1">
        <v>43073</v>
      </c>
      <c r="CP1109" s="1">
        <v>43595</v>
      </c>
    </row>
    <row r="1110" spans="1:94" x14ac:dyDescent="0.25">
      <c r="A1110" s="4" t="s">
        <v>3652</v>
      </c>
      <c r="B1110" t="str">
        <f xml:space="preserve"> "" &amp; 706411062100</f>
        <v>706411062100</v>
      </c>
      <c r="C1110" t="s">
        <v>2482</v>
      </c>
      <c r="D1110" t="s">
        <v>3646</v>
      </c>
      <c r="E1110" t="s">
        <v>3647</v>
      </c>
      <c r="F1110" t="s">
        <v>2113</v>
      </c>
      <c r="G1110">
        <v>1</v>
      </c>
      <c r="H1110">
        <v>1</v>
      </c>
      <c r="I1110" t="s">
        <v>97</v>
      </c>
      <c r="J1110" s="32">
        <v>239.95</v>
      </c>
      <c r="K1110" s="32">
        <v>719.85</v>
      </c>
      <c r="L1110">
        <v>0</v>
      </c>
      <c r="N1110">
        <v>0</v>
      </c>
      <c r="Q1110" t="s">
        <v>291</v>
      </c>
      <c r="R1110" s="32">
        <v>479.95</v>
      </c>
      <c r="S1110">
        <v>18</v>
      </c>
      <c r="T1110">
        <v>56</v>
      </c>
      <c r="U1110">
        <v>56</v>
      </c>
      <c r="W1110">
        <v>16.309999999999999</v>
      </c>
      <c r="X1110">
        <v>1</v>
      </c>
      <c r="Y1110">
        <v>11.5</v>
      </c>
      <c r="Z1110">
        <v>26.5</v>
      </c>
      <c r="AA1110">
        <v>12.25</v>
      </c>
      <c r="AB1110">
        <v>2.16</v>
      </c>
      <c r="AC1110">
        <v>18.96</v>
      </c>
      <c r="AE1110">
        <v>3</v>
      </c>
      <c r="AF1110" t="s">
        <v>3653</v>
      </c>
      <c r="AG1110">
        <v>4</v>
      </c>
      <c r="AK1110" t="s">
        <v>291</v>
      </c>
      <c r="AM1110" t="s">
        <v>98</v>
      </c>
      <c r="AN1110" t="s">
        <v>98</v>
      </c>
      <c r="AO1110" t="s">
        <v>291</v>
      </c>
      <c r="AP1110" t="s">
        <v>99</v>
      </c>
      <c r="AQ1110" t="s">
        <v>102</v>
      </c>
      <c r="AV1110" t="s">
        <v>98</v>
      </c>
      <c r="AX1110" t="s">
        <v>245</v>
      </c>
      <c r="AZ1110" t="s">
        <v>535</v>
      </c>
      <c r="BC1110" t="s">
        <v>245</v>
      </c>
      <c r="BF1110" t="s">
        <v>3654</v>
      </c>
      <c r="BG1110" t="s">
        <v>98</v>
      </c>
      <c r="BH1110" t="s">
        <v>98</v>
      </c>
      <c r="BI1110" t="s">
        <v>98</v>
      </c>
      <c r="BK1110" t="s">
        <v>138</v>
      </c>
      <c r="BU1110">
        <v>6</v>
      </c>
      <c r="BW1110">
        <v>0.75</v>
      </c>
      <c r="BX1110" t="s">
        <v>2206</v>
      </c>
      <c r="BY1110" t="s">
        <v>291</v>
      </c>
      <c r="BZ1110" t="s">
        <v>245</v>
      </c>
      <c r="CA1110" t="s">
        <v>3650</v>
      </c>
      <c r="CB1110" t="s">
        <v>245</v>
      </c>
      <c r="CC1110">
        <v>135</v>
      </c>
      <c r="CD1110">
        <v>0.4</v>
      </c>
      <c r="CE1110">
        <v>29.4</v>
      </c>
      <c r="CF1110">
        <v>5274</v>
      </c>
      <c r="CG1110">
        <v>2700</v>
      </c>
      <c r="CH1110">
        <v>85</v>
      </c>
      <c r="CI1110">
        <v>885</v>
      </c>
      <c r="CJ1110">
        <v>747</v>
      </c>
      <c r="CK1110">
        <v>8</v>
      </c>
      <c r="CL1110" t="s">
        <v>291</v>
      </c>
      <c r="CM1110" t="s">
        <v>291</v>
      </c>
      <c r="CN1110" t="s">
        <v>3651</v>
      </c>
      <c r="CO1110" s="1">
        <v>43563</v>
      </c>
      <c r="CP1110" s="1">
        <v>43595</v>
      </c>
    </row>
    <row r="1111" spans="1:94" x14ac:dyDescent="0.25">
      <c r="A1111" s="4" t="s">
        <v>3655</v>
      </c>
      <c r="B1111" t="str">
        <f xml:space="preserve"> "" &amp; 706411059261</f>
        <v>706411059261</v>
      </c>
      <c r="C1111" t="s">
        <v>3656</v>
      </c>
      <c r="D1111" t="s">
        <v>4449</v>
      </c>
      <c r="E1111" t="str">
        <f xml:space="preserve"> "ARTEMIS" &amp;  CHAR(153) &amp; " IV"</f>
        <v>ARTEMIS™ IV</v>
      </c>
      <c r="F1111" t="s">
        <v>2113</v>
      </c>
      <c r="G1111">
        <v>1</v>
      </c>
      <c r="H1111">
        <v>1</v>
      </c>
      <c r="I1111" t="s">
        <v>97</v>
      </c>
      <c r="J1111" s="32">
        <v>339.95</v>
      </c>
      <c r="K1111" s="32">
        <v>1019.85</v>
      </c>
      <c r="L1111">
        <v>0</v>
      </c>
      <c r="N1111">
        <v>0</v>
      </c>
      <c r="Q1111" t="s">
        <v>291</v>
      </c>
      <c r="R1111" s="32">
        <v>679.95</v>
      </c>
      <c r="S1111">
        <v>16</v>
      </c>
      <c r="T1111">
        <v>64</v>
      </c>
      <c r="U1111">
        <v>64</v>
      </c>
      <c r="W1111">
        <v>19.93</v>
      </c>
      <c r="X1111">
        <v>1</v>
      </c>
      <c r="Y1111">
        <v>9.5</v>
      </c>
      <c r="Z1111">
        <v>41.63</v>
      </c>
      <c r="AA1111">
        <v>14.13</v>
      </c>
      <c r="AB1111">
        <v>3.234</v>
      </c>
      <c r="AC1111">
        <v>25.57</v>
      </c>
      <c r="AE1111">
        <v>1</v>
      </c>
      <c r="AF1111" t="s">
        <v>2141</v>
      </c>
      <c r="AG1111">
        <v>20</v>
      </c>
      <c r="AK1111" t="s">
        <v>291</v>
      </c>
      <c r="AM1111" t="s">
        <v>98</v>
      </c>
      <c r="AN1111" t="s">
        <v>291</v>
      </c>
      <c r="AO1111" t="s">
        <v>98</v>
      </c>
      <c r="AP1111" t="s">
        <v>99</v>
      </c>
      <c r="AQ1111" t="s">
        <v>102</v>
      </c>
      <c r="AV1111" t="s">
        <v>98</v>
      </c>
      <c r="AX1111" t="s">
        <v>2129</v>
      </c>
      <c r="AZ1111" t="s">
        <v>2149</v>
      </c>
      <c r="BB1111" t="s">
        <v>106</v>
      </c>
      <c r="BC1111" t="s">
        <v>302</v>
      </c>
      <c r="BF1111" t="s">
        <v>3657</v>
      </c>
      <c r="BG1111" t="s">
        <v>98</v>
      </c>
      <c r="BH1111" t="s">
        <v>98</v>
      </c>
      <c r="BI1111" t="s">
        <v>98</v>
      </c>
      <c r="BK1111" t="s">
        <v>138</v>
      </c>
      <c r="BU1111">
        <v>6</v>
      </c>
      <c r="BW1111">
        <v>0.75</v>
      </c>
      <c r="BX1111" t="s">
        <v>3212</v>
      </c>
      <c r="BY1111" t="s">
        <v>291</v>
      </c>
      <c r="BZ1111" t="s">
        <v>441</v>
      </c>
      <c r="CA1111" t="s">
        <v>3658</v>
      </c>
      <c r="CB1111" t="s">
        <v>2129</v>
      </c>
      <c r="CC1111">
        <v>154</v>
      </c>
      <c r="CD1111">
        <v>0.61</v>
      </c>
      <c r="CE1111">
        <v>51.21</v>
      </c>
      <c r="CF1111">
        <v>8520</v>
      </c>
      <c r="CG1111">
        <v>3000</v>
      </c>
      <c r="CH1111">
        <v>96</v>
      </c>
      <c r="CI1111">
        <v>1001.8</v>
      </c>
      <c r="CJ1111">
        <v>659.2</v>
      </c>
      <c r="CK1111">
        <v>30000</v>
      </c>
      <c r="CL1111" t="s">
        <v>291</v>
      </c>
      <c r="CM1111" t="s">
        <v>291</v>
      </c>
      <c r="CN1111" t="s">
        <v>2307</v>
      </c>
      <c r="CO1111" s="1">
        <v>43068</v>
      </c>
      <c r="CP1111" s="1">
        <v>43605</v>
      </c>
    </row>
    <row r="1112" spans="1:94" x14ac:dyDescent="0.25">
      <c r="A1112" s="4" t="s">
        <v>3659</v>
      </c>
      <c r="B1112" t="str">
        <f xml:space="preserve"> "" &amp; 706411059162</f>
        <v>706411059162</v>
      </c>
      <c r="C1112" t="s">
        <v>3656</v>
      </c>
      <c r="D1112" t="s">
        <v>4449</v>
      </c>
      <c r="E1112" t="str">
        <f xml:space="preserve"> "ARTEMIS" &amp;  CHAR(153) &amp; " IV"</f>
        <v>ARTEMIS™ IV</v>
      </c>
      <c r="F1112" t="s">
        <v>2113</v>
      </c>
      <c r="G1112">
        <v>1</v>
      </c>
      <c r="H1112">
        <v>1</v>
      </c>
      <c r="I1112" t="s">
        <v>97</v>
      </c>
      <c r="J1112" s="32">
        <v>339.95</v>
      </c>
      <c r="K1112" s="32">
        <v>1019.85</v>
      </c>
      <c r="L1112">
        <v>0</v>
      </c>
      <c r="N1112">
        <v>0</v>
      </c>
      <c r="Q1112" t="s">
        <v>291</v>
      </c>
      <c r="R1112" s="32">
        <v>679.95</v>
      </c>
      <c r="S1112">
        <v>16</v>
      </c>
      <c r="T1112">
        <v>64</v>
      </c>
      <c r="U1112">
        <v>64</v>
      </c>
      <c r="W1112">
        <v>19.93</v>
      </c>
      <c r="X1112">
        <v>1</v>
      </c>
      <c r="Y1112">
        <v>9.5</v>
      </c>
      <c r="Z1112">
        <v>41.63</v>
      </c>
      <c r="AA1112">
        <v>14.13</v>
      </c>
      <c r="AB1112">
        <v>3.234</v>
      </c>
      <c r="AC1112">
        <v>25.57</v>
      </c>
      <c r="AE1112">
        <v>1</v>
      </c>
      <c r="AF1112" t="s">
        <v>2141</v>
      </c>
      <c r="AG1112">
        <v>20</v>
      </c>
      <c r="AK1112" t="s">
        <v>291</v>
      </c>
      <c r="AM1112" t="s">
        <v>98</v>
      </c>
      <c r="AN1112" t="s">
        <v>291</v>
      </c>
      <c r="AO1112" t="s">
        <v>98</v>
      </c>
      <c r="AP1112" t="s">
        <v>99</v>
      </c>
      <c r="AQ1112" t="s">
        <v>102</v>
      </c>
      <c r="AV1112" t="s">
        <v>98</v>
      </c>
      <c r="AX1112" t="s">
        <v>3660</v>
      </c>
      <c r="AZ1112" t="s">
        <v>2149</v>
      </c>
      <c r="BB1112" t="s">
        <v>106</v>
      </c>
      <c r="BC1112" t="s">
        <v>302</v>
      </c>
      <c r="BF1112" t="s">
        <v>3661</v>
      </c>
      <c r="BG1112" t="s">
        <v>98</v>
      </c>
      <c r="BH1112" t="s">
        <v>98</v>
      </c>
      <c r="BI1112" t="s">
        <v>98</v>
      </c>
      <c r="BK1112" t="s">
        <v>138</v>
      </c>
      <c r="BU1112">
        <v>6</v>
      </c>
      <c r="BW1112">
        <v>0.75</v>
      </c>
      <c r="BX1112" t="s">
        <v>3212</v>
      </c>
      <c r="BY1112" t="s">
        <v>291</v>
      </c>
      <c r="BZ1112" t="s">
        <v>2168</v>
      </c>
      <c r="CA1112" t="s">
        <v>3658</v>
      </c>
      <c r="CB1112" t="s">
        <v>3660</v>
      </c>
      <c r="CC1112">
        <v>154</v>
      </c>
      <c r="CD1112">
        <v>0.61</v>
      </c>
      <c r="CE1112">
        <v>51.21</v>
      </c>
      <c r="CF1112">
        <v>8520</v>
      </c>
      <c r="CG1112">
        <v>3000</v>
      </c>
      <c r="CH1112">
        <v>96</v>
      </c>
      <c r="CI1112">
        <v>1001.8</v>
      </c>
      <c r="CJ1112">
        <v>659.2</v>
      </c>
      <c r="CK1112">
        <v>30000</v>
      </c>
      <c r="CL1112" t="s">
        <v>291</v>
      </c>
      <c r="CM1112" t="s">
        <v>291</v>
      </c>
      <c r="CN1112" t="s">
        <v>2307</v>
      </c>
      <c r="CO1112" s="1">
        <v>43068</v>
      </c>
      <c r="CP1112" s="1">
        <v>43605</v>
      </c>
    </row>
    <row r="1113" spans="1:94" x14ac:dyDescent="0.25">
      <c r="A1113" s="4" t="s">
        <v>3662</v>
      </c>
      <c r="B1113" t="str">
        <f xml:space="preserve"> "" &amp; 706411059278</f>
        <v>706411059278</v>
      </c>
      <c r="C1113" t="s">
        <v>3656</v>
      </c>
      <c r="D1113" t="s">
        <v>4449</v>
      </c>
      <c r="E1113" t="str">
        <f xml:space="preserve"> "ARTEMIS" &amp;  CHAR(153) &amp; " IV"</f>
        <v>ARTEMIS™ IV</v>
      </c>
      <c r="F1113" t="s">
        <v>2113</v>
      </c>
      <c r="G1113">
        <v>1</v>
      </c>
      <c r="H1113">
        <v>1</v>
      </c>
      <c r="I1113" t="s">
        <v>97</v>
      </c>
      <c r="J1113" s="32">
        <v>339.95</v>
      </c>
      <c r="K1113" s="32">
        <v>1019.85</v>
      </c>
      <c r="L1113">
        <v>0</v>
      </c>
      <c r="N1113">
        <v>0</v>
      </c>
      <c r="Q1113" t="s">
        <v>291</v>
      </c>
      <c r="R1113" s="32">
        <v>679.95</v>
      </c>
      <c r="S1113">
        <v>16</v>
      </c>
      <c r="T1113">
        <v>64</v>
      </c>
      <c r="U1113">
        <v>64</v>
      </c>
      <c r="W1113">
        <v>19.93</v>
      </c>
      <c r="X1113">
        <v>1</v>
      </c>
      <c r="Y1113">
        <v>9.5</v>
      </c>
      <c r="Z1113">
        <v>41.63</v>
      </c>
      <c r="AA1113">
        <v>14.13</v>
      </c>
      <c r="AB1113">
        <v>3.234</v>
      </c>
      <c r="AC1113">
        <v>25.57</v>
      </c>
      <c r="AE1113">
        <v>1</v>
      </c>
      <c r="AF1113" t="s">
        <v>2141</v>
      </c>
      <c r="AG1113">
        <v>20</v>
      </c>
      <c r="AK1113" t="s">
        <v>291</v>
      </c>
      <c r="AM1113" t="s">
        <v>98</v>
      </c>
      <c r="AN1113" t="s">
        <v>291</v>
      </c>
      <c r="AO1113" t="s">
        <v>98</v>
      </c>
      <c r="AP1113" t="s">
        <v>99</v>
      </c>
      <c r="AQ1113" t="s">
        <v>102</v>
      </c>
      <c r="AV1113" t="s">
        <v>98</v>
      </c>
      <c r="AX1113" t="s">
        <v>245</v>
      </c>
      <c r="AZ1113" t="s">
        <v>2149</v>
      </c>
      <c r="BB1113" t="s">
        <v>106</v>
      </c>
      <c r="BC1113" t="s">
        <v>302</v>
      </c>
      <c r="BF1113" t="s">
        <v>3663</v>
      </c>
      <c r="BG1113" t="s">
        <v>98</v>
      </c>
      <c r="BH1113" t="s">
        <v>98</v>
      </c>
      <c r="BI1113" t="s">
        <v>98</v>
      </c>
      <c r="BK1113" t="s">
        <v>138</v>
      </c>
      <c r="BU1113">
        <v>6</v>
      </c>
      <c r="BW1113">
        <v>0.75</v>
      </c>
      <c r="BX1113" t="s">
        <v>3212</v>
      </c>
      <c r="BY1113" t="s">
        <v>291</v>
      </c>
      <c r="BZ1113" t="s">
        <v>2786</v>
      </c>
      <c r="CA1113" t="s">
        <v>3658</v>
      </c>
      <c r="CB1113" t="s">
        <v>245</v>
      </c>
      <c r="CC1113">
        <v>154</v>
      </c>
      <c r="CD1113">
        <v>0.61</v>
      </c>
      <c r="CE1113">
        <v>51.21</v>
      </c>
      <c r="CF1113">
        <v>8520</v>
      </c>
      <c r="CG1113">
        <v>3000</v>
      </c>
      <c r="CH1113">
        <v>96</v>
      </c>
      <c r="CI1113">
        <v>1001.8</v>
      </c>
      <c r="CJ1113">
        <v>659.2</v>
      </c>
      <c r="CK1113">
        <v>30000</v>
      </c>
      <c r="CL1113" t="s">
        <v>291</v>
      </c>
      <c r="CM1113" t="s">
        <v>291</v>
      </c>
      <c r="CN1113" t="s">
        <v>2307</v>
      </c>
      <c r="CO1113" s="1">
        <v>43070</v>
      </c>
      <c r="CP1113" s="1">
        <v>43605</v>
      </c>
    </row>
    <row r="1114" spans="1:94" x14ac:dyDescent="0.25">
      <c r="A1114" s="4" t="s">
        <v>3664</v>
      </c>
      <c r="B1114" t="str">
        <f xml:space="preserve"> "" &amp; 706411059179</f>
        <v>706411059179</v>
      </c>
      <c r="C1114" t="s">
        <v>3656</v>
      </c>
      <c r="D1114" t="s">
        <v>4449</v>
      </c>
      <c r="E1114" t="str">
        <f xml:space="preserve"> "ARTEMIS" &amp;  CHAR(153) &amp; " IV"</f>
        <v>ARTEMIS™ IV</v>
      </c>
      <c r="F1114" t="s">
        <v>2113</v>
      </c>
      <c r="G1114">
        <v>1</v>
      </c>
      <c r="H1114">
        <v>1</v>
      </c>
      <c r="I1114" t="s">
        <v>97</v>
      </c>
      <c r="J1114" s="32">
        <v>339.95</v>
      </c>
      <c r="K1114" s="32">
        <v>1019.85</v>
      </c>
      <c r="L1114">
        <v>0</v>
      </c>
      <c r="N1114">
        <v>0</v>
      </c>
      <c r="Q1114" t="s">
        <v>291</v>
      </c>
      <c r="R1114" s="32">
        <v>679.95</v>
      </c>
      <c r="S1114">
        <v>16</v>
      </c>
      <c r="T1114">
        <v>64</v>
      </c>
      <c r="U1114">
        <v>64</v>
      </c>
      <c r="W1114">
        <v>19.93</v>
      </c>
      <c r="X1114">
        <v>1</v>
      </c>
      <c r="Y1114">
        <v>9.5</v>
      </c>
      <c r="Z1114">
        <v>41.63</v>
      </c>
      <c r="AA1114">
        <v>14.13</v>
      </c>
      <c r="AB1114">
        <v>3.234</v>
      </c>
      <c r="AC1114">
        <v>25.57</v>
      </c>
      <c r="AE1114">
        <v>1</v>
      </c>
      <c r="AF1114" t="s">
        <v>2141</v>
      </c>
      <c r="AG1114">
        <v>20</v>
      </c>
      <c r="AK1114" t="s">
        <v>291</v>
      </c>
      <c r="AM1114" t="s">
        <v>98</v>
      </c>
      <c r="AN1114" t="s">
        <v>291</v>
      </c>
      <c r="AO1114" t="s">
        <v>98</v>
      </c>
      <c r="AP1114" t="s">
        <v>99</v>
      </c>
      <c r="AQ1114" t="s">
        <v>102</v>
      </c>
      <c r="AV1114" t="s">
        <v>98</v>
      </c>
      <c r="AX1114" t="s">
        <v>3665</v>
      </c>
      <c r="AZ1114" t="s">
        <v>2149</v>
      </c>
      <c r="BB1114" t="s">
        <v>106</v>
      </c>
      <c r="BC1114" t="s">
        <v>302</v>
      </c>
      <c r="BF1114" t="s">
        <v>3666</v>
      </c>
      <c r="BG1114" t="s">
        <v>98</v>
      </c>
      <c r="BH1114" t="s">
        <v>98</v>
      </c>
      <c r="BI1114" t="s">
        <v>98</v>
      </c>
      <c r="BK1114" t="s">
        <v>138</v>
      </c>
      <c r="BU1114">
        <v>6</v>
      </c>
      <c r="BW1114">
        <v>0.75</v>
      </c>
      <c r="BY1114" t="s">
        <v>291</v>
      </c>
      <c r="BZ1114" t="s">
        <v>2168</v>
      </c>
      <c r="CA1114" t="s">
        <v>3658</v>
      </c>
      <c r="CB1114" t="s">
        <v>3665</v>
      </c>
      <c r="CC1114">
        <v>154</v>
      </c>
      <c r="CD1114">
        <v>0.61</v>
      </c>
      <c r="CE1114">
        <v>51.21</v>
      </c>
      <c r="CF1114">
        <v>8520</v>
      </c>
      <c r="CG1114">
        <v>3000</v>
      </c>
      <c r="CH1114">
        <v>96</v>
      </c>
      <c r="CI1114">
        <v>1001.8</v>
      </c>
      <c r="CJ1114">
        <v>659.2</v>
      </c>
      <c r="CK1114">
        <v>30000</v>
      </c>
      <c r="CL1114" t="s">
        <v>291</v>
      </c>
      <c r="CM1114" t="s">
        <v>291</v>
      </c>
      <c r="CN1114" t="s">
        <v>2307</v>
      </c>
      <c r="CO1114" s="1">
        <v>43068</v>
      </c>
      <c r="CP1114" s="1">
        <v>43605</v>
      </c>
    </row>
    <row r="1115" spans="1:94" x14ac:dyDescent="0.25">
      <c r="A1115" s="4" t="s">
        <v>3667</v>
      </c>
      <c r="B1115" t="str">
        <f xml:space="preserve"> "" &amp; 706411055713</f>
        <v>706411055713</v>
      </c>
      <c r="C1115" t="s">
        <v>3182</v>
      </c>
      <c r="D1115" t="s">
        <v>4450</v>
      </c>
      <c r="E1115" t="str">
        <f xml:space="preserve"> "ARTEMIS" &amp;  CHAR(153) &amp; " XL5 LED"</f>
        <v>ARTEMIS™ XL5 LED</v>
      </c>
      <c r="F1115" t="s">
        <v>2113</v>
      </c>
      <c r="G1115">
        <v>1</v>
      </c>
      <c r="H1115">
        <v>1</v>
      </c>
      <c r="I1115" t="s">
        <v>97</v>
      </c>
      <c r="J1115" s="32">
        <v>359.95</v>
      </c>
      <c r="K1115" s="32">
        <v>1079.8499999999999</v>
      </c>
      <c r="L1115">
        <v>0</v>
      </c>
      <c r="N1115">
        <v>0</v>
      </c>
      <c r="Q1115" t="s">
        <v>291</v>
      </c>
      <c r="R1115" s="32">
        <v>719.95</v>
      </c>
      <c r="S1115">
        <v>13.75</v>
      </c>
      <c r="T1115">
        <v>62</v>
      </c>
      <c r="U1115">
        <v>62</v>
      </c>
      <c r="W1115">
        <v>21.63</v>
      </c>
      <c r="X1115">
        <v>1</v>
      </c>
      <c r="Y1115">
        <v>10</v>
      </c>
      <c r="Z1115">
        <v>36.5</v>
      </c>
      <c r="AA1115">
        <v>17.13</v>
      </c>
      <c r="AB1115">
        <v>3.6179999999999999</v>
      </c>
      <c r="AC1115">
        <v>26.5</v>
      </c>
      <c r="AE1115">
        <v>1</v>
      </c>
      <c r="AF1115" t="s">
        <v>2141</v>
      </c>
      <c r="AG1115">
        <v>17</v>
      </c>
      <c r="AK1115" t="s">
        <v>291</v>
      </c>
      <c r="AM1115" t="s">
        <v>98</v>
      </c>
      <c r="AN1115" t="s">
        <v>291</v>
      </c>
      <c r="AO1115" t="s">
        <v>98</v>
      </c>
      <c r="AP1115" t="s">
        <v>99</v>
      </c>
      <c r="AQ1115" t="s">
        <v>102</v>
      </c>
      <c r="AV1115" t="s">
        <v>98</v>
      </c>
      <c r="AX1115" t="s">
        <v>703</v>
      </c>
      <c r="AZ1115" t="s">
        <v>535</v>
      </c>
      <c r="BB1115" t="s">
        <v>106</v>
      </c>
      <c r="BC1115" t="s">
        <v>3150</v>
      </c>
      <c r="BF1115" t="s">
        <v>3668</v>
      </c>
      <c r="BG1115" t="s">
        <v>98</v>
      </c>
      <c r="BH1115" t="s">
        <v>98</v>
      </c>
      <c r="BI1115" t="s">
        <v>98</v>
      </c>
      <c r="BK1115" t="s">
        <v>138</v>
      </c>
      <c r="BU1115">
        <v>6</v>
      </c>
      <c r="BW1115">
        <v>0.75</v>
      </c>
      <c r="BX1115" t="s">
        <v>3212</v>
      </c>
      <c r="BY1115" t="s">
        <v>291</v>
      </c>
      <c r="BZ1115" t="s">
        <v>703</v>
      </c>
      <c r="CA1115" t="s">
        <v>3669</v>
      </c>
      <c r="CB1115" t="s">
        <v>703</v>
      </c>
      <c r="CC1115">
        <v>100</v>
      </c>
      <c r="CD1115">
        <v>0.54</v>
      </c>
      <c r="CE1115">
        <v>39.36</v>
      </c>
      <c r="CF1115">
        <v>9160.33</v>
      </c>
      <c r="CG1115">
        <v>3000</v>
      </c>
      <c r="CH1115">
        <v>82</v>
      </c>
      <c r="CI1115">
        <v>1250</v>
      </c>
      <c r="CJ1115">
        <v>646</v>
      </c>
      <c r="CK1115">
        <v>30000</v>
      </c>
      <c r="CL1115" t="s">
        <v>291</v>
      </c>
      <c r="CM1115" t="s">
        <v>291</v>
      </c>
      <c r="CN1115" t="s">
        <v>2814</v>
      </c>
      <c r="CO1115" s="1">
        <v>42797</v>
      </c>
      <c r="CP1115" s="1">
        <v>43595</v>
      </c>
    </row>
    <row r="1116" spans="1:94" x14ac:dyDescent="0.25">
      <c r="A1116" s="4" t="s">
        <v>3670</v>
      </c>
      <c r="B1116" t="str">
        <f xml:space="preserve"> "" &amp; 706411055690</f>
        <v>706411055690</v>
      </c>
      <c r="C1116" t="s">
        <v>3182</v>
      </c>
      <c r="D1116" t="s">
        <v>4450</v>
      </c>
      <c r="E1116" t="str">
        <f xml:space="preserve"> "ARTEMIS" &amp;  CHAR(153) &amp; " XL5 LED"</f>
        <v>ARTEMIS™ XL5 LED</v>
      </c>
      <c r="F1116" t="s">
        <v>2113</v>
      </c>
      <c r="G1116">
        <v>1</v>
      </c>
      <c r="H1116">
        <v>1</v>
      </c>
      <c r="I1116" t="s">
        <v>97</v>
      </c>
      <c r="J1116" s="32">
        <v>689.95</v>
      </c>
      <c r="K1116" s="32">
        <v>2069.85</v>
      </c>
      <c r="L1116">
        <v>0</v>
      </c>
      <c r="N1116">
        <v>0</v>
      </c>
      <c r="Q1116" t="s">
        <v>291</v>
      </c>
      <c r="R1116" s="32">
        <v>1379.95</v>
      </c>
      <c r="S1116">
        <v>13.75</v>
      </c>
      <c r="T1116">
        <v>62</v>
      </c>
      <c r="U1116">
        <v>62</v>
      </c>
      <c r="W1116">
        <v>21.63</v>
      </c>
      <c r="X1116">
        <v>1</v>
      </c>
      <c r="Y1116">
        <v>10</v>
      </c>
      <c r="Z1116">
        <v>36.5</v>
      </c>
      <c r="AA1116">
        <v>17.13</v>
      </c>
      <c r="AB1116">
        <v>3.6179999999999999</v>
      </c>
      <c r="AC1116">
        <v>26.5</v>
      </c>
      <c r="AE1116">
        <v>1</v>
      </c>
      <c r="AF1116" t="s">
        <v>2141</v>
      </c>
      <c r="AG1116">
        <v>17</v>
      </c>
      <c r="AK1116" t="s">
        <v>291</v>
      </c>
      <c r="AM1116" t="s">
        <v>98</v>
      </c>
      <c r="AN1116" t="s">
        <v>98</v>
      </c>
      <c r="AO1116" t="s">
        <v>98</v>
      </c>
      <c r="AP1116" t="s">
        <v>99</v>
      </c>
      <c r="AQ1116" t="s">
        <v>102</v>
      </c>
      <c r="AV1116" t="s">
        <v>98</v>
      </c>
      <c r="AX1116" t="s">
        <v>223</v>
      </c>
      <c r="AZ1116" t="s">
        <v>535</v>
      </c>
      <c r="BB1116" t="s">
        <v>106</v>
      </c>
      <c r="BC1116" t="s">
        <v>2152</v>
      </c>
      <c r="BF1116" t="s">
        <v>3671</v>
      </c>
      <c r="BG1116" t="s">
        <v>98</v>
      </c>
      <c r="BH1116" t="s">
        <v>98</v>
      </c>
      <c r="BI1116" t="s">
        <v>98</v>
      </c>
      <c r="BK1116" t="s">
        <v>138</v>
      </c>
      <c r="BU1116">
        <v>6</v>
      </c>
      <c r="BW1116">
        <v>0.75</v>
      </c>
      <c r="BX1116" t="s">
        <v>3212</v>
      </c>
      <c r="BY1116" t="s">
        <v>291</v>
      </c>
      <c r="BZ1116" t="s">
        <v>223</v>
      </c>
      <c r="CA1116" t="s">
        <v>3669</v>
      </c>
      <c r="CB1116" t="s">
        <v>223</v>
      </c>
      <c r="CC1116">
        <v>100</v>
      </c>
      <c r="CD1116">
        <v>0.54</v>
      </c>
      <c r="CE1116">
        <v>39.36</v>
      </c>
      <c r="CF1116">
        <v>9160.33</v>
      </c>
      <c r="CG1116">
        <v>3000</v>
      </c>
      <c r="CH1116">
        <v>82</v>
      </c>
      <c r="CI1116">
        <v>1250</v>
      </c>
      <c r="CJ1116">
        <v>646</v>
      </c>
      <c r="CK1116">
        <v>30000</v>
      </c>
      <c r="CL1116" t="s">
        <v>291</v>
      </c>
      <c r="CM1116" t="s">
        <v>291</v>
      </c>
      <c r="CN1116" t="s">
        <v>2814</v>
      </c>
      <c r="CO1116" s="1">
        <v>42754</v>
      </c>
      <c r="CP1116" s="1">
        <v>43595</v>
      </c>
    </row>
    <row r="1117" spans="1:94" x14ac:dyDescent="0.25">
      <c r="A1117" s="4" t="s">
        <v>3672</v>
      </c>
      <c r="B1117" t="str">
        <f xml:space="preserve"> "" &amp; 706411055706</f>
        <v>706411055706</v>
      </c>
      <c r="C1117" t="s">
        <v>3182</v>
      </c>
      <c r="D1117" t="s">
        <v>4450</v>
      </c>
      <c r="E1117" t="str">
        <f xml:space="preserve"> "ARTEMIS" &amp;  CHAR(153) &amp; " XL5 LED"</f>
        <v>ARTEMIS™ XL5 LED</v>
      </c>
      <c r="F1117" t="s">
        <v>2113</v>
      </c>
      <c r="G1117">
        <v>1</v>
      </c>
      <c r="H1117">
        <v>1</v>
      </c>
      <c r="I1117" t="s">
        <v>97</v>
      </c>
      <c r="J1117" s="32">
        <v>359.95</v>
      </c>
      <c r="K1117" s="32">
        <v>1079.8499999999999</v>
      </c>
      <c r="L1117">
        <v>0</v>
      </c>
      <c r="N1117">
        <v>0</v>
      </c>
      <c r="Q1117" t="s">
        <v>291</v>
      </c>
      <c r="R1117" s="32">
        <v>719.95</v>
      </c>
      <c r="S1117">
        <v>13.75</v>
      </c>
      <c r="T1117">
        <v>62</v>
      </c>
      <c r="U1117">
        <v>62</v>
      </c>
      <c r="W1117">
        <v>21.63</v>
      </c>
      <c r="X1117">
        <v>1</v>
      </c>
      <c r="Y1117">
        <v>10</v>
      </c>
      <c r="Z1117">
        <v>36.5</v>
      </c>
      <c r="AA1117">
        <v>17.13</v>
      </c>
      <c r="AB1117">
        <v>3.6179999999999999</v>
      </c>
      <c r="AC1117">
        <v>26.5</v>
      </c>
      <c r="AE1117">
        <v>1</v>
      </c>
      <c r="AF1117" t="s">
        <v>2141</v>
      </c>
      <c r="AG1117">
        <v>17</v>
      </c>
      <c r="AK1117" t="s">
        <v>291</v>
      </c>
      <c r="AM1117" t="s">
        <v>98</v>
      </c>
      <c r="AN1117" t="s">
        <v>291</v>
      </c>
      <c r="AO1117" t="s">
        <v>98</v>
      </c>
      <c r="AP1117" t="s">
        <v>99</v>
      </c>
      <c r="AQ1117" t="s">
        <v>102</v>
      </c>
      <c r="AV1117" t="s">
        <v>98</v>
      </c>
      <c r="AX1117" t="s">
        <v>441</v>
      </c>
      <c r="AZ1117" t="s">
        <v>535</v>
      </c>
      <c r="BB1117" t="s">
        <v>106</v>
      </c>
      <c r="BC1117" t="s">
        <v>2152</v>
      </c>
      <c r="BF1117" t="s">
        <v>3673</v>
      </c>
      <c r="BG1117" t="s">
        <v>98</v>
      </c>
      <c r="BH1117" t="s">
        <v>98</v>
      </c>
      <c r="BI1117" t="s">
        <v>98</v>
      </c>
      <c r="BK1117" t="s">
        <v>138</v>
      </c>
      <c r="BU1117">
        <v>6</v>
      </c>
      <c r="BW1117">
        <v>0.75</v>
      </c>
      <c r="BX1117" t="s">
        <v>3212</v>
      </c>
      <c r="BY1117" t="s">
        <v>291</v>
      </c>
      <c r="BZ1117" t="s">
        <v>441</v>
      </c>
      <c r="CA1117" t="s">
        <v>3669</v>
      </c>
      <c r="CB1117" t="s">
        <v>441</v>
      </c>
      <c r="CC1117">
        <v>100</v>
      </c>
      <c r="CD1117">
        <v>0.54</v>
      </c>
      <c r="CE1117">
        <v>39.36</v>
      </c>
      <c r="CF1117">
        <v>9160.33</v>
      </c>
      <c r="CG1117">
        <v>3000</v>
      </c>
      <c r="CH1117">
        <v>82</v>
      </c>
      <c r="CI1117">
        <v>1250</v>
      </c>
      <c r="CJ1117">
        <v>646</v>
      </c>
      <c r="CK1117">
        <v>30000</v>
      </c>
      <c r="CL1117" t="s">
        <v>291</v>
      </c>
      <c r="CM1117" t="s">
        <v>291</v>
      </c>
      <c r="CN1117" t="s">
        <v>2814</v>
      </c>
      <c r="CO1117" s="1">
        <v>42797</v>
      </c>
      <c r="CP1117" s="1">
        <v>43595</v>
      </c>
    </row>
    <row r="1118" spans="1:94" x14ac:dyDescent="0.25">
      <c r="A1118" s="4" t="s">
        <v>3674</v>
      </c>
      <c r="B1118" t="str">
        <f xml:space="preserve"> "" &amp; 706411055720</f>
        <v>706411055720</v>
      </c>
      <c r="C1118" t="s">
        <v>3182</v>
      </c>
      <c r="D1118" t="s">
        <v>4450</v>
      </c>
      <c r="E1118" t="str">
        <f xml:space="preserve"> "ARTEMIS" &amp;  CHAR(153) &amp; " XL5 LED"</f>
        <v>ARTEMIS™ XL5 LED</v>
      </c>
      <c r="F1118" t="s">
        <v>2113</v>
      </c>
      <c r="G1118">
        <v>1</v>
      </c>
      <c r="H1118">
        <v>1</v>
      </c>
      <c r="I1118" t="s">
        <v>97</v>
      </c>
      <c r="J1118" s="32">
        <v>359.95</v>
      </c>
      <c r="K1118" s="32">
        <v>1079.8499999999999</v>
      </c>
      <c r="L1118">
        <v>0</v>
      </c>
      <c r="N1118">
        <v>0</v>
      </c>
      <c r="Q1118" t="s">
        <v>291</v>
      </c>
      <c r="R1118" s="32">
        <v>719.95</v>
      </c>
      <c r="S1118">
        <v>13.75</v>
      </c>
      <c r="T1118">
        <v>62</v>
      </c>
      <c r="U1118">
        <v>62</v>
      </c>
      <c r="W1118">
        <v>21.63</v>
      </c>
      <c r="X1118">
        <v>1</v>
      </c>
      <c r="Y1118">
        <v>10</v>
      </c>
      <c r="Z1118">
        <v>36.5</v>
      </c>
      <c r="AA1118">
        <v>17.13</v>
      </c>
      <c r="AB1118">
        <v>3.6179999999999999</v>
      </c>
      <c r="AC1118">
        <v>26.5</v>
      </c>
      <c r="AE1118">
        <v>1</v>
      </c>
      <c r="AF1118" t="s">
        <v>2141</v>
      </c>
      <c r="AG1118">
        <v>17</v>
      </c>
      <c r="AK1118" t="s">
        <v>291</v>
      </c>
      <c r="AM1118" t="s">
        <v>98</v>
      </c>
      <c r="AN1118" t="s">
        <v>291</v>
      </c>
      <c r="AO1118" t="s">
        <v>98</v>
      </c>
      <c r="AP1118" t="s">
        <v>99</v>
      </c>
      <c r="AQ1118" t="s">
        <v>102</v>
      </c>
      <c r="AV1118" t="s">
        <v>98</v>
      </c>
      <c r="AX1118" t="s">
        <v>302</v>
      </c>
      <c r="AZ1118" t="s">
        <v>535</v>
      </c>
      <c r="BB1118" t="s">
        <v>106</v>
      </c>
      <c r="BC1118" t="s">
        <v>2152</v>
      </c>
      <c r="BF1118" t="s">
        <v>3675</v>
      </c>
      <c r="BG1118" t="s">
        <v>98</v>
      </c>
      <c r="BH1118" t="s">
        <v>98</v>
      </c>
      <c r="BI1118" t="s">
        <v>98</v>
      </c>
      <c r="BK1118" t="s">
        <v>138</v>
      </c>
      <c r="BU1118">
        <v>6</v>
      </c>
      <c r="BW1118">
        <v>0.75</v>
      </c>
      <c r="BX1118" t="s">
        <v>3212</v>
      </c>
      <c r="BY1118" t="s">
        <v>291</v>
      </c>
      <c r="BZ1118" t="s">
        <v>302</v>
      </c>
      <c r="CA1118" t="s">
        <v>3669</v>
      </c>
      <c r="CB1118" t="s">
        <v>302</v>
      </c>
      <c r="CC1118">
        <v>100</v>
      </c>
      <c r="CD1118">
        <v>0.54</v>
      </c>
      <c r="CE1118">
        <v>39.36</v>
      </c>
      <c r="CF1118">
        <v>9160</v>
      </c>
      <c r="CG1118">
        <v>3000</v>
      </c>
      <c r="CH1118">
        <v>82</v>
      </c>
      <c r="CI1118">
        <v>1250</v>
      </c>
      <c r="CJ1118">
        <v>646</v>
      </c>
      <c r="CK1118">
        <v>30000</v>
      </c>
      <c r="CL1118" t="s">
        <v>291</v>
      </c>
      <c r="CM1118" t="s">
        <v>291</v>
      </c>
      <c r="CN1118" t="s">
        <v>2814</v>
      </c>
      <c r="CO1118" s="1">
        <v>42804</v>
      </c>
      <c r="CP1118" s="1">
        <v>43595</v>
      </c>
    </row>
    <row r="1119" spans="1:94" x14ac:dyDescent="0.25">
      <c r="A1119" s="4" t="s">
        <v>3676</v>
      </c>
      <c r="B1119" t="str">
        <f xml:space="preserve"> "" &amp; 706411041471</f>
        <v>706411041471</v>
      </c>
      <c r="C1119" t="s">
        <v>3677</v>
      </c>
      <c r="D1119" t="s">
        <v>3678</v>
      </c>
      <c r="F1119" t="s">
        <v>135</v>
      </c>
      <c r="G1119">
        <v>1</v>
      </c>
      <c r="H1119">
        <v>1</v>
      </c>
      <c r="I1119" t="s">
        <v>97</v>
      </c>
      <c r="J1119" s="32">
        <v>11.95</v>
      </c>
      <c r="K1119" s="32">
        <v>35.85</v>
      </c>
      <c r="L1119">
        <v>0</v>
      </c>
      <c r="N1119">
        <v>0</v>
      </c>
      <c r="W1119">
        <v>5.7930000000000001</v>
      </c>
      <c r="X1119">
        <v>1</v>
      </c>
      <c r="AB1119">
        <v>0.20180000000000001</v>
      </c>
      <c r="AC1119">
        <v>5.9029999999999996</v>
      </c>
      <c r="AK1119" t="s">
        <v>98</v>
      </c>
      <c r="AM1119" t="s">
        <v>98</v>
      </c>
      <c r="AN1119" t="s">
        <v>98</v>
      </c>
      <c r="AO1119" t="s">
        <v>98</v>
      </c>
      <c r="AP1119" t="s">
        <v>99</v>
      </c>
      <c r="AQ1119" t="s">
        <v>102</v>
      </c>
      <c r="AV1119" t="s">
        <v>98</v>
      </c>
      <c r="BF1119" t="s">
        <v>3679</v>
      </c>
      <c r="BG1119" t="s">
        <v>98</v>
      </c>
      <c r="BH1119" t="s">
        <v>98</v>
      </c>
      <c r="BI1119" t="s">
        <v>98</v>
      </c>
      <c r="CL1119" t="s">
        <v>98</v>
      </c>
      <c r="CM1119" t="s">
        <v>98</v>
      </c>
      <c r="CP1119" s="1">
        <v>43595</v>
      </c>
    </row>
    <row r="1120" spans="1:94" x14ac:dyDescent="0.25">
      <c r="A1120" s="4" t="s">
        <v>3680</v>
      </c>
      <c r="B1120" t="str">
        <f xml:space="preserve"> "" &amp; 706411033711</f>
        <v>706411033711</v>
      </c>
      <c r="C1120" t="s">
        <v>3677</v>
      </c>
      <c r="D1120" t="s">
        <v>3681</v>
      </c>
      <c r="F1120" t="s">
        <v>135</v>
      </c>
      <c r="G1120">
        <v>1</v>
      </c>
      <c r="H1120">
        <v>1</v>
      </c>
      <c r="I1120" t="s">
        <v>97</v>
      </c>
      <c r="J1120" s="32">
        <v>10.95</v>
      </c>
      <c r="K1120" s="32">
        <v>32.85</v>
      </c>
      <c r="L1120">
        <v>0</v>
      </c>
      <c r="N1120">
        <v>0</v>
      </c>
      <c r="W1120">
        <v>5.7930000000000001</v>
      </c>
      <c r="X1120">
        <v>1</v>
      </c>
      <c r="AB1120">
        <v>0.20180000000000001</v>
      </c>
      <c r="AC1120">
        <v>5.9029999999999996</v>
      </c>
      <c r="AK1120" t="s">
        <v>98</v>
      </c>
      <c r="AM1120" t="s">
        <v>98</v>
      </c>
      <c r="AN1120" t="s">
        <v>98</v>
      </c>
      <c r="AO1120" t="s">
        <v>98</v>
      </c>
      <c r="AP1120" t="s">
        <v>99</v>
      </c>
      <c r="AQ1120" t="s">
        <v>102</v>
      </c>
      <c r="AV1120" t="s">
        <v>98</v>
      </c>
      <c r="BF1120" t="s">
        <v>3682</v>
      </c>
      <c r="BG1120" t="s">
        <v>98</v>
      </c>
      <c r="BH1120" t="s">
        <v>98</v>
      </c>
      <c r="BI1120" t="s">
        <v>98</v>
      </c>
      <c r="CL1120" t="s">
        <v>98</v>
      </c>
      <c r="CM1120" t="s">
        <v>98</v>
      </c>
      <c r="CP1120" s="1">
        <v>43595</v>
      </c>
    </row>
    <row r="1121" spans="1:94" x14ac:dyDescent="0.25">
      <c r="A1121" s="4" t="s">
        <v>3683</v>
      </c>
      <c r="B1121" t="str">
        <f xml:space="preserve"> "" &amp; 706411033728</f>
        <v>706411033728</v>
      </c>
      <c r="C1121" t="s">
        <v>3677</v>
      </c>
      <c r="D1121" t="s">
        <v>3684</v>
      </c>
      <c r="F1121" t="s">
        <v>135</v>
      </c>
      <c r="G1121">
        <v>1</v>
      </c>
      <c r="H1121">
        <v>1</v>
      </c>
      <c r="I1121" t="s">
        <v>97</v>
      </c>
      <c r="J1121" s="32">
        <v>10.95</v>
      </c>
      <c r="K1121" s="32">
        <v>32.85</v>
      </c>
      <c r="L1121">
        <v>0</v>
      </c>
      <c r="N1121">
        <v>0</v>
      </c>
      <c r="W1121">
        <v>5.7930000000000001</v>
      </c>
      <c r="X1121">
        <v>1</v>
      </c>
      <c r="AB1121">
        <v>0.20180000000000001</v>
      </c>
      <c r="AC1121">
        <v>5.9029999999999996</v>
      </c>
      <c r="AK1121" t="s">
        <v>98</v>
      </c>
      <c r="AM1121" t="s">
        <v>98</v>
      </c>
      <c r="AN1121" t="s">
        <v>98</v>
      </c>
      <c r="AO1121" t="s">
        <v>98</v>
      </c>
      <c r="AP1121" t="s">
        <v>99</v>
      </c>
      <c r="AQ1121" t="s">
        <v>102</v>
      </c>
      <c r="AV1121" t="s">
        <v>98</v>
      </c>
      <c r="BF1121" t="s">
        <v>3685</v>
      </c>
      <c r="BG1121" t="s">
        <v>98</v>
      </c>
      <c r="BH1121" t="s">
        <v>98</v>
      </c>
      <c r="BI1121" t="s">
        <v>98</v>
      </c>
      <c r="CL1121" t="s">
        <v>98</v>
      </c>
      <c r="CM1121" t="s">
        <v>98</v>
      </c>
      <c r="CP1121" s="1">
        <v>43595</v>
      </c>
    </row>
    <row r="1122" spans="1:94" x14ac:dyDescent="0.25">
      <c r="A1122" s="4" t="s">
        <v>3686</v>
      </c>
      <c r="B1122" t="str">
        <f xml:space="preserve"> "" &amp; 706411041488</f>
        <v>706411041488</v>
      </c>
      <c r="C1122" t="s">
        <v>3677</v>
      </c>
      <c r="D1122" t="s">
        <v>3687</v>
      </c>
      <c r="F1122" t="s">
        <v>135</v>
      </c>
      <c r="G1122">
        <v>1</v>
      </c>
      <c r="H1122">
        <v>1</v>
      </c>
      <c r="I1122" t="s">
        <v>97</v>
      </c>
      <c r="J1122" s="32">
        <v>14.95</v>
      </c>
      <c r="K1122" s="32">
        <v>44.85</v>
      </c>
      <c r="L1122">
        <v>0</v>
      </c>
      <c r="N1122">
        <v>0</v>
      </c>
      <c r="W1122">
        <v>5.7930000000000001</v>
      </c>
      <c r="X1122">
        <v>1</v>
      </c>
      <c r="AB1122">
        <v>0.20180000000000001</v>
      </c>
      <c r="AC1122">
        <v>5.9029999999999996</v>
      </c>
      <c r="AK1122" t="s">
        <v>98</v>
      </c>
      <c r="AM1122" t="s">
        <v>98</v>
      </c>
      <c r="AN1122" t="s">
        <v>98</v>
      </c>
      <c r="AO1122" t="s">
        <v>98</v>
      </c>
      <c r="AP1122" t="s">
        <v>99</v>
      </c>
      <c r="AQ1122" t="s">
        <v>102</v>
      </c>
      <c r="AV1122" t="s">
        <v>98</v>
      </c>
      <c r="BF1122" t="s">
        <v>3688</v>
      </c>
      <c r="BG1122" t="s">
        <v>98</v>
      </c>
      <c r="BH1122" t="s">
        <v>98</v>
      </c>
      <c r="BI1122" t="s">
        <v>98</v>
      </c>
      <c r="CL1122" t="s">
        <v>98</v>
      </c>
      <c r="CM1122" t="s">
        <v>98</v>
      </c>
      <c r="CP1122" s="1">
        <v>43595</v>
      </c>
    </row>
    <row r="1123" spans="1:94" x14ac:dyDescent="0.25">
      <c r="A1123" s="4" t="s">
        <v>3689</v>
      </c>
      <c r="B1123" t="str">
        <f xml:space="preserve"> "" &amp; 706411004247</f>
        <v>706411004247</v>
      </c>
      <c r="C1123" t="s">
        <v>3677</v>
      </c>
      <c r="D1123" t="s">
        <v>3690</v>
      </c>
      <c r="F1123" t="s">
        <v>135</v>
      </c>
      <c r="G1123">
        <v>1</v>
      </c>
      <c r="H1123">
        <v>1</v>
      </c>
      <c r="I1123" t="s">
        <v>97</v>
      </c>
      <c r="J1123" s="32">
        <v>15.95</v>
      </c>
      <c r="K1123" s="32">
        <v>47.85</v>
      </c>
      <c r="L1123">
        <v>0</v>
      </c>
      <c r="N1123">
        <v>0</v>
      </c>
      <c r="W1123">
        <v>2.8959999999999999</v>
      </c>
      <c r="X1123">
        <v>1</v>
      </c>
      <c r="AB1123">
        <v>0.1009</v>
      </c>
      <c r="AC1123">
        <v>2.9510000000000001</v>
      </c>
      <c r="AK1123" t="s">
        <v>98</v>
      </c>
      <c r="AM1123" t="s">
        <v>98</v>
      </c>
      <c r="AN1123" t="s">
        <v>98</v>
      </c>
      <c r="AO1123" t="s">
        <v>98</v>
      </c>
      <c r="AP1123" t="s">
        <v>99</v>
      </c>
      <c r="AQ1123" t="s">
        <v>102</v>
      </c>
      <c r="AV1123" t="s">
        <v>98</v>
      </c>
      <c r="AX1123" t="s">
        <v>430</v>
      </c>
      <c r="BF1123" t="s">
        <v>3691</v>
      </c>
      <c r="BG1123" t="s">
        <v>98</v>
      </c>
      <c r="BH1123" t="s">
        <v>98</v>
      </c>
      <c r="BI1123" t="s">
        <v>98</v>
      </c>
      <c r="CB1123" t="s">
        <v>430</v>
      </c>
      <c r="CL1123" t="s">
        <v>98</v>
      </c>
      <c r="CM1123" t="s">
        <v>98</v>
      </c>
      <c r="CP1123" s="1">
        <v>43595</v>
      </c>
    </row>
    <row r="1124" spans="1:94" x14ac:dyDescent="0.25">
      <c r="A1124" s="4" t="s">
        <v>3692</v>
      </c>
      <c r="B1124" t="str">
        <f xml:space="preserve"> "" &amp; 706411004278</f>
        <v>706411004278</v>
      </c>
      <c r="C1124" t="s">
        <v>3677</v>
      </c>
      <c r="D1124" t="s">
        <v>3693</v>
      </c>
      <c r="F1124" t="s">
        <v>135</v>
      </c>
      <c r="G1124">
        <v>1</v>
      </c>
      <c r="H1124">
        <v>1</v>
      </c>
      <c r="I1124" t="s">
        <v>97</v>
      </c>
      <c r="J1124" s="32">
        <v>12.95</v>
      </c>
      <c r="K1124" s="32">
        <v>38.85</v>
      </c>
      <c r="L1124">
        <v>0</v>
      </c>
      <c r="N1124">
        <v>0</v>
      </c>
      <c r="W1124">
        <v>2.8959999999999999</v>
      </c>
      <c r="X1124">
        <v>1</v>
      </c>
      <c r="AB1124">
        <v>0.1009</v>
      </c>
      <c r="AC1124">
        <v>2.9510000000000001</v>
      </c>
      <c r="AK1124" t="s">
        <v>98</v>
      </c>
      <c r="AM1124" t="s">
        <v>98</v>
      </c>
      <c r="AN1124" t="s">
        <v>98</v>
      </c>
      <c r="AO1124" t="s">
        <v>98</v>
      </c>
      <c r="AP1124" t="s">
        <v>99</v>
      </c>
      <c r="AQ1124" t="s">
        <v>102</v>
      </c>
      <c r="AV1124" t="s">
        <v>98</v>
      </c>
      <c r="BF1124" t="s">
        <v>3694</v>
      </c>
      <c r="BG1124" t="s">
        <v>98</v>
      </c>
      <c r="BH1124" t="s">
        <v>98</v>
      </c>
      <c r="BI1124" t="s">
        <v>98</v>
      </c>
      <c r="CL1124" t="s">
        <v>98</v>
      </c>
      <c r="CM1124" t="s">
        <v>98</v>
      </c>
      <c r="CP1124" s="1">
        <v>43595</v>
      </c>
    </row>
    <row r="1125" spans="1:94" x14ac:dyDescent="0.25">
      <c r="A1125" s="4" t="s">
        <v>3695</v>
      </c>
      <c r="B1125" t="str">
        <f xml:space="preserve"> "" &amp; 706411004469</f>
        <v>706411004469</v>
      </c>
      <c r="C1125" t="s">
        <v>3677</v>
      </c>
      <c r="D1125" t="s">
        <v>3696</v>
      </c>
      <c r="F1125" t="s">
        <v>135</v>
      </c>
      <c r="G1125">
        <v>1</v>
      </c>
      <c r="H1125">
        <v>1</v>
      </c>
      <c r="I1125" t="s">
        <v>97</v>
      </c>
      <c r="J1125" s="32">
        <v>19.95</v>
      </c>
      <c r="K1125" s="32">
        <v>59.85</v>
      </c>
      <c r="L1125">
        <v>0</v>
      </c>
      <c r="N1125">
        <v>0</v>
      </c>
      <c r="W1125">
        <v>3.08</v>
      </c>
      <c r="X1125">
        <v>1</v>
      </c>
      <c r="AB1125">
        <v>0.12</v>
      </c>
      <c r="AC1125">
        <v>3.41</v>
      </c>
      <c r="AK1125" t="s">
        <v>98</v>
      </c>
      <c r="AM1125" t="s">
        <v>98</v>
      </c>
      <c r="AN1125" t="s">
        <v>98</v>
      </c>
      <c r="AO1125" t="s">
        <v>98</v>
      </c>
      <c r="AP1125" t="s">
        <v>99</v>
      </c>
      <c r="AQ1125" t="s">
        <v>102</v>
      </c>
      <c r="AV1125" t="s">
        <v>98</v>
      </c>
      <c r="BF1125" t="s">
        <v>3697</v>
      </c>
      <c r="BG1125" t="s">
        <v>98</v>
      </c>
      <c r="BH1125" t="s">
        <v>98</v>
      </c>
      <c r="BI1125" t="s">
        <v>98</v>
      </c>
      <c r="CL1125" t="s">
        <v>98</v>
      </c>
      <c r="CM1125" t="s">
        <v>98</v>
      </c>
      <c r="CP1125" s="1">
        <v>43595</v>
      </c>
    </row>
    <row r="1126" spans="1:94" x14ac:dyDescent="0.25">
      <c r="A1126" s="4" t="s">
        <v>3698</v>
      </c>
      <c r="B1126" t="str">
        <f xml:space="preserve"> "" &amp; 706411010507</f>
        <v>706411010507</v>
      </c>
      <c r="C1126" t="s">
        <v>3677</v>
      </c>
      <c r="D1126" t="s">
        <v>3699</v>
      </c>
      <c r="F1126" t="s">
        <v>135</v>
      </c>
      <c r="G1126">
        <v>1</v>
      </c>
      <c r="H1126">
        <v>1</v>
      </c>
      <c r="I1126" t="s">
        <v>97</v>
      </c>
      <c r="J1126" s="32">
        <v>17</v>
      </c>
      <c r="K1126" s="32">
        <v>51</v>
      </c>
      <c r="L1126">
        <v>0</v>
      </c>
      <c r="N1126">
        <v>0</v>
      </c>
      <c r="W1126">
        <v>3.08</v>
      </c>
      <c r="X1126">
        <v>1</v>
      </c>
      <c r="AB1126">
        <v>0.12</v>
      </c>
      <c r="AC1126">
        <v>3.41</v>
      </c>
      <c r="AK1126" t="s">
        <v>98</v>
      </c>
      <c r="AM1126" t="s">
        <v>98</v>
      </c>
      <c r="AN1126" t="s">
        <v>98</v>
      </c>
      <c r="AO1126" t="s">
        <v>98</v>
      </c>
      <c r="AP1126" t="s">
        <v>99</v>
      </c>
      <c r="AQ1126" t="s">
        <v>102</v>
      </c>
      <c r="AV1126" t="s">
        <v>98</v>
      </c>
      <c r="BF1126" t="s">
        <v>3700</v>
      </c>
      <c r="BG1126" t="s">
        <v>98</v>
      </c>
      <c r="BH1126" t="s">
        <v>98</v>
      </c>
      <c r="BI1126" t="s">
        <v>98</v>
      </c>
      <c r="CL1126" t="s">
        <v>98</v>
      </c>
      <c r="CM1126" t="s">
        <v>98</v>
      </c>
      <c r="CP1126" s="1">
        <v>43595</v>
      </c>
    </row>
    <row r="1127" spans="1:94" x14ac:dyDescent="0.25">
      <c r="A1127" s="4" t="s">
        <v>3701</v>
      </c>
      <c r="B1127" t="str">
        <f xml:space="preserve"> "" &amp; 706411010521</f>
        <v>706411010521</v>
      </c>
      <c r="C1127" t="s">
        <v>3677</v>
      </c>
      <c r="D1127" t="s">
        <v>3702</v>
      </c>
      <c r="F1127" t="s">
        <v>135</v>
      </c>
      <c r="G1127">
        <v>1</v>
      </c>
      <c r="H1127">
        <v>1</v>
      </c>
      <c r="I1127" t="s">
        <v>97</v>
      </c>
      <c r="J1127" s="32">
        <v>15.95</v>
      </c>
      <c r="K1127" s="32">
        <v>47.85</v>
      </c>
      <c r="L1127">
        <v>0</v>
      </c>
      <c r="N1127">
        <v>0</v>
      </c>
      <c r="W1127">
        <v>3.08</v>
      </c>
      <c r="X1127">
        <v>1</v>
      </c>
      <c r="AB1127">
        <v>0.12</v>
      </c>
      <c r="AC1127">
        <v>3.41</v>
      </c>
      <c r="AK1127" t="s">
        <v>98</v>
      </c>
      <c r="AM1127" t="s">
        <v>98</v>
      </c>
      <c r="AN1127" t="s">
        <v>98</v>
      </c>
      <c r="AO1127" t="s">
        <v>98</v>
      </c>
      <c r="AP1127" t="s">
        <v>99</v>
      </c>
      <c r="AQ1127" t="s">
        <v>102</v>
      </c>
      <c r="AV1127" t="s">
        <v>98</v>
      </c>
      <c r="AX1127" t="s">
        <v>2159</v>
      </c>
      <c r="BF1127" t="s">
        <v>3703</v>
      </c>
      <c r="BG1127" t="s">
        <v>98</v>
      </c>
      <c r="BH1127" t="s">
        <v>98</v>
      </c>
      <c r="BI1127" t="s">
        <v>98</v>
      </c>
      <c r="CB1127" t="s">
        <v>2159</v>
      </c>
      <c r="CL1127" t="s">
        <v>98</v>
      </c>
      <c r="CM1127" t="s">
        <v>98</v>
      </c>
      <c r="CP1127" s="1">
        <v>43595</v>
      </c>
    </row>
    <row r="1128" spans="1:94" x14ac:dyDescent="0.25">
      <c r="A1128" s="4" t="s">
        <v>3704</v>
      </c>
      <c r="B1128" t="str">
        <f xml:space="preserve"> "" &amp; 706411004483</f>
        <v>706411004483</v>
      </c>
      <c r="C1128" t="s">
        <v>3677</v>
      </c>
      <c r="D1128" t="s">
        <v>3705</v>
      </c>
      <c r="F1128" t="s">
        <v>135</v>
      </c>
      <c r="G1128">
        <v>1</v>
      </c>
      <c r="H1128">
        <v>1</v>
      </c>
      <c r="I1128" t="s">
        <v>97</v>
      </c>
      <c r="J1128" s="32">
        <v>33.950000000000003</v>
      </c>
      <c r="K1128" s="32">
        <v>101.85</v>
      </c>
      <c r="L1128">
        <v>0</v>
      </c>
      <c r="N1128">
        <v>0</v>
      </c>
      <c r="W1128">
        <v>3.08</v>
      </c>
      <c r="X1128">
        <v>1</v>
      </c>
      <c r="AB1128">
        <v>0.12</v>
      </c>
      <c r="AC1128">
        <v>3.41</v>
      </c>
      <c r="AK1128" t="s">
        <v>98</v>
      </c>
      <c r="AM1128" t="s">
        <v>98</v>
      </c>
      <c r="AN1128" t="s">
        <v>98</v>
      </c>
      <c r="AO1128" t="s">
        <v>98</v>
      </c>
      <c r="AP1128" t="s">
        <v>99</v>
      </c>
      <c r="AQ1128" t="s">
        <v>102</v>
      </c>
      <c r="AV1128" t="s">
        <v>98</v>
      </c>
      <c r="BF1128" t="s">
        <v>3706</v>
      </c>
      <c r="BG1128" t="s">
        <v>98</v>
      </c>
      <c r="BH1128" t="s">
        <v>98</v>
      </c>
      <c r="BI1128" t="s">
        <v>98</v>
      </c>
      <c r="CL1128" t="s">
        <v>98</v>
      </c>
      <c r="CM1128" t="s">
        <v>98</v>
      </c>
      <c r="CP1128" s="1">
        <v>43595</v>
      </c>
    </row>
    <row r="1129" spans="1:94" x14ac:dyDescent="0.25">
      <c r="A1129" s="4" t="s">
        <v>3707</v>
      </c>
      <c r="B1129" t="str">
        <f xml:space="preserve"> "" &amp; 706411010538</f>
        <v>706411010538</v>
      </c>
      <c r="C1129" t="s">
        <v>3677</v>
      </c>
      <c r="D1129" t="s">
        <v>3708</v>
      </c>
      <c r="F1129" t="s">
        <v>135</v>
      </c>
      <c r="G1129">
        <v>1</v>
      </c>
      <c r="H1129">
        <v>1</v>
      </c>
      <c r="I1129" t="s">
        <v>97</v>
      </c>
      <c r="J1129" s="32">
        <v>19.95</v>
      </c>
      <c r="K1129" s="32">
        <v>59.85</v>
      </c>
      <c r="L1129">
        <v>0</v>
      </c>
      <c r="N1129">
        <v>0</v>
      </c>
      <c r="W1129">
        <v>3.08</v>
      </c>
      <c r="X1129">
        <v>1</v>
      </c>
      <c r="AB1129">
        <v>0.12</v>
      </c>
      <c r="AC1129">
        <v>3.41</v>
      </c>
      <c r="AK1129" t="s">
        <v>98</v>
      </c>
      <c r="AM1129" t="s">
        <v>98</v>
      </c>
      <c r="AN1129" t="s">
        <v>98</v>
      </c>
      <c r="AO1129" t="s">
        <v>98</v>
      </c>
      <c r="AP1129" t="s">
        <v>99</v>
      </c>
      <c r="AQ1129" t="s">
        <v>102</v>
      </c>
      <c r="AV1129" t="s">
        <v>98</v>
      </c>
      <c r="BF1129" t="s">
        <v>3709</v>
      </c>
      <c r="BG1129" t="s">
        <v>98</v>
      </c>
      <c r="BH1129" t="s">
        <v>98</v>
      </c>
      <c r="BI1129" t="s">
        <v>98</v>
      </c>
      <c r="CL1129" t="s">
        <v>98</v>
      </c>
      <c r="CM1129" t="s">
        <v>98</v>
      </c>
      <c r="CP1129" s="1">
        <v>43595</v>
      </c>
    </row>
    <row r="1130" spans="1:94" x14ac:dyDescent="0.25">
      <c r="A1130" s="4" t="s">
        <v>3710</v>
      </c>
      <c r="B1130" t="str">
        <f xml:space="preserve"> "" &amp; 706411004490</f>
        <v>706411004490</v>
      </c>
      <c r="C1130" t="s">
        <v>3677</v>
      </c>
      <c r="D1130" t="s">
        <v>3711</v>
      </c>
      <c r="F1130" t="s">
        <v>135</v>
      </c>
      <c r="G1130">
        <v>1</v>
      </c>
      <c r="H1130">
        <v>1</v>
      </c>
      <c r="I1130" t="s">
        <v>97</v>
      </c>
      <c r="J1130" s="32">
        <v>14.95</v>
      </c>
      <c r="K1130" s="32">
        <v>44.85</v>
      </c>
      <c r="L1130">
        <v>0</v>
      </c>
      <c r="N1130">
        <v>0</v>
      </c>
      <c r="W1130">
        <v>3.08</v>
      </c>
      <c r="X1130">
        <v>1</v>
      </c>
      <c r="AB1130">
        <v>0.12</v>
      </c>
      <c r="AC1130">
        <v>3.41</v>
      </c>
      <c r="AK1130" t="s">
        <v>98</v>
      </c>
      <c r="AM1130" t="s">
        <v>98</v>
      </c>
      <c r="AN1130" t="s">
        <v>98</v>
      </c>
      <c r="AO1130" t="s">
        <v>98</v>
      </c>
      <c r="AP1130" t="s">
        <v>99</v>
      </c>
      <c r="AQ1130" t="s">
        <v>102</v>
      </c>
      <c r="AV1130" t="s">
        <v>98</v>
      </c>
      <c r="AX1130" t="s">
        <v>430</v>
      </c>
      <c r="BF1130" t="s">
        <v>3712</v>
      </c>
      <c r="BG1130" t="s">
        <v>98</v>
      </c>
      <c r="BH1130" t="s">
        <v>98</v>
      </c>
      <c r="BI1130" t="s">
        <v>98</v>
      </c>
      <c r="CB1130" t="s">
        <v>430</v>
      </c>
      <c r="CL1130" t="s">
        <v>98</v>
      </c>
      <c r="CM1130" t="s">
        <v>98</v>
      </c>
      <c r="CP1130" s="1">
        <v>43595</v>
      </c>
    </row>
    <row r="1131" spans="1:94" x14ac:dyDescent="0.25">
      <c r="A1131" s="4" t="s">
        <v>3713</v>
      </c>
      <c r="B1131" t="str">
        <f xml:space="preserve"> "" &amp; 706411004537</f>
        <v>706411004537</v>
      </c>
      <c r="C1131" t="s">
        <v>3677</v>
      </c>
      <c r="D1131" t="s">
        <v>3714</v>
      </c>
      <c r="F1131" t="s">
        <v>135</v>
      </c>
      <c r="G1131">
        <v>1</v>
      </c>
      <c r="H1131">
        <v>1</v>
      </c>
      <c r="I1131" t="s">
        <v>97</v>
      </c>
      <c r="J1131" s="32">
        <v>14.95</v>
      </c>
      <c r="K1131" s="32">
        <v>44.85</v>
      </c>
      <c r="L1131">
        <v>0</v>
      </c>
      <c r="N1131">
        <v>0</v>
      </c>
      <c r="W1131">
        <v>3.08</v>
      </c>
      <c r="X1131">
        <v>1</v>
      </c>
      <c r="AB1131">
        <v>0.1186</v>
      </c>
      <c r="AC1131">
        <v>3.41</v>
      </c>
      <c r="AK1131" t="s">
        <v>98</v>
      </c>
      <c r="AM1131" t="s">
        <v>98</v>
      </c>
      <c r="AN1131" t="s">
        <v>98</v>
      </c>
      <c r="AO1131" t="s">
        <v>98</v>
      </c>
      <c r="AP1131" t="s">
        <v>99</v>
      </c>
      <c r="AQ1131" t="s">
        <v>102</v>
      </c>
      <c r="AV1131" t="s">
        <v>98</v>
      </c>
      <c r="BF1131" t="s">
        <v>3715</v>
      </c>
      <c r="BG1131" t="s">
        <v>98</v>
      </c>
      <c r="BH1131" t="s">
        <v>98</v>
      </c>
      <c r="BI1131" t="s">
        <v>98</v>
      </c>
      <c r="CL1131" t="s">
        <v>98</v>
      </c>
      <c r="CM1131" t="s">
        <v>98</v>
      </c>
      <c r="CP1131" s="1">
        <v>43595</v>
      </c>
    </row>
    <row r="1132" spans="1:94" x14ac:dyDescent="0.25">
      <c r="A1132" s="4" t="s">
        <v>3716</v>
      </c>
      <c r="B1132" t="str">
        <f xml:space="preserve"> "" &amp; 706411004544</f>
        <v>706411004544</v>
      </c>
      <c r="C1132" t="s">
        <v>3677</v>
      </c>
      <c r="D1132" t="s">
        <v>3717</v>
      </c>
      <c r="F1132" t="s">
        <v>135</v>
      </c>
      <c r="G1132">
        <v>1</v>
      </c>
      <c r="H1132">
        <v>1</v>
      </c>
      <c r="I1132" t="s">
        <v>97</v>
      </c>
      <c r="J1132" s="32">
        <v>14.95</v>
      </c>
      <c r="K1132" s="32">
        <v>44.85</v>
      </c>
      <c r="L1132">
        <v>0</v>
      </c>
      <c r="N1132">
        <v>0</v>
      </c>
      <c r="W1132">
        <v>3.08</v>
      </c>
      <c r="X1132">
        <v>1</v>
      </c>
      <c r="AB1132">
        <v>0.1186</v>
      </c>
      <c r="AC1132">
        <v>3.41</v>
      </c>
      <c r="AK1132" t="s">
        <v>98</v>
      </c>
      <c r="AM1132" t="s">
        <v>98</v>
      </c>
      <c r="AN1132" t="s">
        <v>98</v>
      </c>
      <c r="AO1132" t="s">
        <v>98</v>
      </c>
      <c r="AP1132" t="s">
        <v>99</v>
      </c>
      <c r="AQ1132" t="s">
        <v>102</v>
      </c>
      <c r="AV1132" t="s">
        <v>98</v>
      </c>
      <c r="BF1132" t="s">
        <v>3718</v>
      </c>
      <c r="BG1132" t="s">
        <v>98</v>
      </c>
      <c r="BH1132" t="s">
        <v>98</v>
      </c>
      <c r="BI1132" t="s">
        <v>98</v>
      </c>
      <c r="CL1132" t="s">
        <v>98</v>
      </c>
      <c r="CM1132" t="s">
        <v>98</v>
      </c>
      <c r="CP1132" s="1">
        <v>43595</v>
      </c>
    </row>
    <row r="1133" spans="1:94" x14ac:dyDescent="0.25">
      <c r="A1133" s="4" t="s">
        <v>3719</v>
      </c>
      <c r="B1133" t="str">
        <f xml:space="preserve"> "" &amp; 706411005237</f>
        <v>706411005237</v>
      </c>
      <c r="C1133" t="s">
        <v>3677</v>
      </c>
      <c r="D1133" t="s">
        <v>3720</v>
      </c>
      <c r="F1133" t="s">
        <v>135</v>
      </c>
      <c r="G1133">
        <v>1</v>
      </c>
      <c r="H1133">
        <v>1</v>
      </c>
      <c r="I1133" t="s">
        <v>97</v>
      </c>
      <c r="J1133" s="32">
        <v>20.95</v>
      </c>
      <c r="K1133" s="32">
        <v>62.85</v>
      </c>
      <c r="L1133">
        <v>0</v>
      </c>
      <c r="N1133">
        <v>0</v>
      </c>
      <c r="W1133">
        <v>1.65</v>
      </c>
      <c r="X1133">
        <v>1</v>
      </c>
      <c r="AB1133">
        <v>6.4500000000000002E-2</v>
      </c>
      <c r="AC1133">
        <v>1.76</v>
      </c>
      <c r="AK1133" t="s">
        <v>98</v>
      </c>
      <c r="AM1133" t="s">
        <v>98</v>
      </c>
      <c r="AN1133" t="s">
        <v>98</v>
      </c>
      <c r="AO1133" t="s">
        <v>98</v>
      </c>
      <c r="AP1133" t="s">
        <v>99</v>
      </c>
      <c r="AQ1133" t="s">
        <v>102</v>
      </c>
      <c r="AV1133" t="s">
        <v>98</v>
      </c>
      <c r="AX1133" t="s">
        <v>441</v>
      </c>
      <c r="BF1133" t="s">
        <v>3721</v>
      </c>
      <c r="BG1133" t="s">
        <v>98</v>
      </c>
      <c r="BH1133" t="s">
        <v>98</v>
      </c>
      <c r="BI1133" t="s">
        <v>98</v>
      </c>
      <c r="CB1133" t="s">
        <v>441</v>
      </c>
      <c r="CL1133" t="s">
        <v>98</v>
      </c>
      <c r="CM1133" t="s">
        <v>98</v>
      </c>
      <c r="CP1133" s="1">
        <v>43595</v>
      </c>
    </row>
    <row r="1134" spans="1:94" x14ac:dyDescent="0.25">
      <c r="A1134" s="4" t="s">
        <v>3722</v>
      </c>
      <c r="B1134" t="str">
        <f xml:space="preserve"> "" &amp; 706411019111</f>
        <v>706411019111</v>
      </c>
      <c r="C1134" t="s">
        <v>3677</v>
      </c>
      <c r="D1134" t="s">
        <v>3723</v>
      </c>
      <c r="F1134" t="s">
        <v>135</v>
      </c>
      <c r="G1134">
        <v>1</v>
      </c>
      <c r="H1134">
        <v>1</v>
      </c>
      <c r="I1134" t="s">
        <v>97</v>
      </c>
      <c r="J1134" s="32">
        <v>26.95</v>
      </c>
      <c r="K1134" s="32">
        <v>80.849999999999994</v>
      </c>
      <c r="L1134">
        <v>0</v>
      </c>
      <c r="N1134">
        <v>0</v>
      </c>
      <c r="W1134">
        <v>3.2559999999999998</v>
      </c>
      <c r="X1134">
        <v>1</v>
      </c>
      <c r="AB1134">
        <v>0.31280000000000002</v>
      </c>
      <c r="AC1134">
        <v>3.6080000000000001</v>
      </c>
      <c r="AK1134" t="s">
        <v>98</v>
      </c>
      <c r="AM1134" t="s">
        <v>98</v>
      </c>
      <c r="AN1134" t="s">
        <v>98</v>
      </c>
      <c r="AO1134" t="s">
        <v>98</v>
      </c>
      <c r="AP1134" t="s">
        <v>99</v>
      </c>
      <c r="AQ1134" t="s">
        <v>102</v>
      </c>
      <c r="AV1134" t="s">
        <v>98</v>
      </c>
      <c r="AX1134" t="s">
        <v>231</v>
      </c>
      <c r="AZ1134" t="s">
        <v>109</v>
      </c>
      <c r="BF1134" t="s">
        <v>3724</v>
      </c>
      <c r="BG1134" t="s">
        <v>98</v>
      </c>
      <c r="BH1134" t="s">
        <v>98</v>
      </c>
      <c r="BI1134" t="s">
        <v>98</v>
      </c>
      <c r="CB1134" t="s">
        <v>231</v>
      </c>
      <c r="CL1134" t="s">
        <v>98</v>
      </c>
      <c r="CM1134" t="s">
        <v>98</v>
      </c>
      <c r="CP1134" s="1">
        <v>43595</v>
      </c>
    </row>
    <row r="1135" spans="1:94" x14ac:dyDescent="0.25">
      <c r="A1135" s="4" t="s">
        <v>3725</v>
      </c>
      <c r="B1135" t="str">
        <f xml:space="preserve"> "" &amp; 706411019104</f>
        <v>706411019104</v>
      </c>
      <c r="C1135" t="s">
        <v>3677</v>
      </c>
      <c r="D1135" t="s">
        <v>3726</v>
      </c>
      <c r="F1135" t="s">
        <v>135</v>
      </c>
      <c r="G1135">
        <v>1</v>
      </c>
      <c r="H1135">
        <v>1</v>
      </c>
      <c r="I1135" t="s">
        <v>97</v>
      </c>
      <c r="J1135" s="32">
        <v>26.95</v>
      </c>
      <c r="K1135" s="32">
        <v>80.849999999999994</v>
      </c>
      <c r="L1135">
        <v>0</v>
      </c>
      <c r="N1135">
        <v>0</v>
      </c>
      <c r="W1135">
        <v>3.2559999999999998</v>
      </c>
      <c r="X1135">
        <v>1</v>
      </c>
      <c r="AB1135">
        <v>0.31280000000000002</v>
      </c>
      <c r="AC1135">
        <v>3.6080000000000001</v>
      </c>
      <c r="AK1135" t="s">
        <v>98</v>
      </c>
      <c r="AM1135" t="s">
        <v>98</v>
      </c>
      <c r="AN1135" t="s">
        <v>98</v>
      </c>
      <c r="AO1135" t="s">
        <v>98</v>
      </c>
      <c r="AP1135" t="s">
        <v>99</v>
      </c>
      <c r="AQ1135" t="s">
        <v>102</v>
      </c>
      <c r="AV1135" t="s">
        <v>98</v>
      </c>
      <c r="BF1135" t="s">
        <v>3727</v>
      </c>
      <c r="BG1135" t="s">
        <v>98</v>
      </c>
      <c r="BH1135" t="s">
        <v>98</v>
      </c>
      <c r="BI1135" t="s">
        <v>98</v>
      </c>
      <c r="CL1135" t="s">
        <v>98</v>
      </c>
      <c r="CM1135" t="s">
        <v>98</v>
      </c>
      <c r="CP1135" s="1">
        <v>42683</v>
      </c>
    </row>
    <row r="1136" spans="1:94" x14ac:dyDescent="0.25">
      <c r="A1136" s="4" t="s">
        <v>3728</v>
      </c>
      <c r="B1136" t="str">
        <f xml:space="preserve"> "" &amp; 706411011429</f>
        <v>706411011429</v>
      </c>
      <c r="C1136" t="s">
        <v>3677</v>
      </c>
      <c r="D1136" t="s">
        <v>3729</v>
      </c>
      <c r="F1136" t="s">
        <v>551</v>
      </c>
      <c r="G1136">
        <v>1</v>
      </c>
      <c r="H1136">
        <v>1</v>
      </c>
      <c r="I1136" t="s">
        <v>97</v>
      </c>
      <c r="J1136" s="32">
        <v>16.95</v>
      </c>
      <c r="K1136" s="32">
        <v>50.85</v>
      </c>
      <c r="L1136">
        <v>0</v>
      </c>
      <c r="N1136">
        <v>0</v>
      </c>
      <c r="T1136">
        <v>20.28</v>
      </c>
      <c r="U1136">
        <v>6.69</v>
      </c>
      <c r="W1136">
        <v>2.7719999999999998</v>
      </c>
      <c r="X1136">
        <v>1</v>
      </c>
      <c r="Y1136">
        <v>7</v>
      </c>
      <c r="Z1136">
        <v>20.75</v>
      </c>
      <c r="AA1136">
        <v>12</v>
      </c>
      <c r="AB1136">
        <v>1.01</v>
      </c>
      <c r="AC1136">
        <v>2.86</v>
      </c>
      <c r="AK1136" t="s">
        <v>98</v>
      </c>
      <c r="AM1136" t="s">
        <v>98</v>
      </c>
      <c r="AN1136" t="s">
        <v>98</v>
      </c>
      <c r="AO1136" t="s">
        <v>98</v>
      </c>
      <c r="AP1136" t="s">
        <v>99</v>
      </c>
      <c r="AQ1136" t="s">
        <v>102</v>
      </c>
      <c r="AV1136" t="s">
        <v>98</v>
      </c>
      <c r="AX1136" t="s">
        <v>3730</v>
      </c>
      <c r="BF1136" t="s">
        <v>3731</v>
      </c>
      <c r="BG1136" t="s">
        <v>98</v>
      </c>
      <c r="BH1136" t="s">
        <v>98</v>
      </c>
      <c r="BI1136" t="s">
        <v>98</v>
      </c>
      <c r="BK1136" t="s">
        <v>138</v>
      </c>
      <c r="CA1136" t="s">
        <v>3732</v>
      </c>
      <c r="CB1136" t="s">
        <v>3730</v>
      </c>
      <c r="CL1136" t="s">
        <v>98</v>
      </c>
      <c r="CM1136" t="s">
        <v>98</v>
      </c>
      <c r="CO1136" s="1">
        <v>40086</v>
      </c>
      <c r="CP1136" s="1">
        <v>43595</v>
      </c>
    </row>
    <row r="1137" spans="1:94" x14ac:dyDescent="0.25">
      <c r="A1137" s="4" t="s">
        <v>3733</v>
      </c>
      <c r="B1137" t="str">
        <f xml:space="preserve"> "" &amp; 706411011405</f>
        <v>706411011405</v>
      </c>
      <c r="C1137" t="s">
        <v>3677</v>
      </c>
      <c r="D1137" t="s">
        <v>3734</v>
      </c>
      <c r="F1137" t="s">
        <v>135</v>
      </c>
      <c r="G1137">
        <v>1</v>
      </c>
      <c r="H1137">
        <v>1</v>
      </c>
      <c r="I1137" t="s">
        <v>97</v>
      </c>
      <c r="J1137" s="32">
        <v>16.95</v>
      </c>
      <c r="K1137" s="32">
        <v>50.85</v>
      </c>
      <c r="L1137">
        <v>0</v>
      </c>
      <c r="N1137">
        <v>0</v>
      </c>
      <c r="W1137">
        <v>10.371</v>
      </c>
      <c r="X1137">
        <v>1</v>
      </c>
      <c r="AB1137">
        <v>0.36499999999999999</v>
      </c>
      <c r="AC1137">
        <v>10.635</v>
      </c>
      <c r="AK1137" t="s">
        <v>98</v>
      </c>
      <c r="AM1137" t="s">
        <v>98</v>
      </c>
      <c r="AN1137" t="s">
        <v>98</v>
      </c>
      <c r="AO1137" t="s">
        <v>98</v>
      </c>
      <c r="AP1137" t="s">
        <v>99</v>
      </c>
      <c r="AQ1137" t="s">
        <v>102</v>
      </c>
      <c r="AV1137" t="s">
        <v>98</v>
      </c>
      <c r="BF1137" t="s">
        <v>3735</v>
      </c>
      <c r="BG1137" t="s">
        <v>98</v>
      </c>
      <c r="BH1137" t="s">
        <v>98</v>
      </c>
      <c r="BI1137" t="s">
        <v>98</v>
      </c>
      <c r="CL1137" t="s">
        <v>98</v>
      </c>
      <c r="CM1137" t="s">
        <v>98</v>
      </c>
      <c r="CP1137" s="1">
        <v>43595</v>
      </c>
    </row>
    <row r="1138" spans="1:94" x14ac:dyDescent="0.25">
      <c r="A1138" s="4" t="s">
        <v>3736</v>
      </c>
      <c r="B1138" t="str">
        <f xml:space="preserve"> "" &amp; 706411011412</f>
        <v>706411011412</v>
      </c>
      <c r="C1138" t="s">
        <v>3677</v>
      </c>
      <c r="D1138" t="s">
        <v>3737</v>
      </c>
      <c r="F1138" t="s">
        <v>135</v>
      </c>
      <c r="G1138">
        <v>1</v>
      </c>
      <c r="H1138">
        <v>1</v>
      </c>
      <c r="I1138" t="s">
        <v>97</v>
      </c>
      <c r="J1138" s="32">
        <v>16.95</v>
      </c>
      <c r="K1138" s="32">
        <v>50.85</v>
      </c>
      <c r="L1138">
        <v>0</v>
      </c>
      <c r="N1138">
        <v>0</v>
      </c>
      <c r="W1138">
        <v>10.371</v>
      </c>
      <c r="X1138">
        <v>1</v>
      </c>
      <c r="AB1138">
        <v>0.36499999999999999</v>
      </c>
      <c r="AC1138">
        <v>10.635</v>
      </c>
      <c r="AK1138" t="s">
        <v>98</v>
      </c>
      <c r="AM1138" t="s">
        <v>98</v>
      </c>
      <c r="AN1138" t="s">
        <v>98</v>
      </c>
      <c r="AO1138" t="s">
        <v>98</v>
      </c>
      <c r="AP1138" t="s">
        <v>99</v>
      </c>
      <c r="AQ1138" t="s">
        <v>102</v>
      </c>
      <c r="AV1138" t="s">
        <v>98</v>
      </c>
      <c r="BF1138" t="s">
        <v>3738</v>
      </c>
      <c r="BG1138" t="s">
        <v>98</v>
      </c>
      <c r="BH1138" t="s">
        <v>98</v>
      </c>
      <c r="BI1138" t="s">
        <v>98</v>
      </c>
      <c r="CL1138" t="s">
        <v>98</v>
      </c>
      <c r="CM1138" t="s">
        <v>98</v>
      </c>
      <c r="CP1138" s="1">
        <v>43595</v>
      </c>
    </row>
    <row r="1139" spans="1:94" x14ac:dyDescent="0.25">
      <c r="A1139" s="4" t="s">
        <v>3739</v>
      </c>
      <c r="B1139" t="str">
        <f xml:space="preserve"> "" &amp; 706411042874</f>
        <v>706411042874</v>
      </c>
      <c r="C1139" t="s">
        <v>3677</v>
      </c>
      <c r="D1139" t="s">
        <v>3740</v>
      </c>
      <c r="F1139" t="s">
        <v>135</v>
      </c>
      <c r="G1139">
        <v>1</v>
      </c>
      <c r="H1139">
        <v>1</v>
      </c>
      <c r="I1139" t="s">
        <v>97</v>
      </c>
      <c r="J1139" s="32">
        <v>16.95</v>
      </c>
      <c r="K1139" s="32">
        <v>50.85</v>
      </c>
      <c r="L1139">
        <v>0</v>
      </c>
      <c r="N1139">
        <v>0</v>
      </c>
      <c r="W1139">
        <v>2.593</v>
      </c>
      <c r="X1139">
        <v>1</v>
      </c>
      <c r="AB1139">
        <v>9.1300000000000006E-2</v>
      </c>
      <c r="AC1139">
        <v>2.6589999999999998</v>
      </c>
      <c r="AK1139" t="s">
        <v>98</v>
      </c>
      <c r="AM1139" t="s">
        <v>98</v>
      </c>
      <c r="AN1139" t="s">
        <v>98</v>
      </c>
      <c r="AO1139" t="s">
        <v>98</v>
      </c>
      <c r="AP1139" t="s">
        <v>99</v>
      </c>
      <c r="AQ1139" t="s">
        <v>102</v>
      </c>
      <c r="AV1139" t="s">
        <v>98</v>
      </c>
      <c r="AX1139" t="s">
        <v>245</v>
      </c>
      <c r="BF1139" t="s">
        <v>3741</v>
      </c>
      <c r="BG1139" t="s">
        <v>98</v>
      </c>
      <c r="BH1139" t="s">
        <v>98</v>
      </c>
      <c r="BI1139" t="s">
        <v>98</v>
      </c>
      <c r="CB1139" t="s">
        <v>245</v>
      </c>
      <c r="CL1139" t="s">
        <v>98</v>
      </c>
      <c r="CM1139" t="s">
        <v>98</v>
      </c>
      <c r="CP1139" s="1">
        <v>43595</v>
      </c>
    </row>
    <row r="1140" spans="1:94" x14ac:dyDescent="0.25">
      <c r="A1140" s="4" t="s">
        <v>3742</v>
      </c>
      <c r="B1140" t="str">
        <f xml:space="preserve"> "" &amp; 706411019364</f>
        <v>706411019364</v>
      </c>
      <c r="C1140" t="s">
        <v>3677</v>
      </c>
      <c r="D1140" t="s">
        <v>3743</v>
      </c>
      <c r="F1140" t="s">
        <v>135</v>
      </c>
      <c r="G1140">
        <v>1</v>
      </c>
      <c r="H1140">
        <v>1</v>
      </c>
      <c r="I1140" t="s">
        <v>97</v>
      </c>
      <c r="J1140" s="32">
        <v>20.95</v>
      </c>
      <c r="K1140" s="32">
        <v>62.85</v>
      </c>
      <c r="L1140">
        <v>0</v>
      </c>
      <c r="N1140">
        <v>0</v>
      </c>
      <c r="S1140">
        <v>22.83</v>
      </c>
      <c r="U1140">
        <v>7.48</v>
      </c>
      <c r="W1140">
        <v>3.1680000000000001</v>
      </c>
      <c r="X1140">
        <v>1</v>
      </c>
      <c r="Y1140">
        <v>9</v>
      </c>
      <c r="Z1140">
        <v>24</v>
      </c>
      <c r="AA1140">
        <v>8.25</v>
      </c>
      <c r="AB1140">
        <v>1.03</v>
      </c>
      <c r="AC1140">
        <v>3.41</v>
      </c>
      <c r="AK1140" t="s">
        <v>98</v>
      </c>
      <c r="AM1140" t="s">
        <v>98</v>
      </c>
      <c r="AN1140" t="s">
        <v>98</v>
      </c>
      <c r="AO1140" t="s">
        <v>98</v>
      </c>
      <c r="AP1140" t="s">
        <v>99</v>
      </c>
      <c r="AQ1140" t="s">
        <v>102</v>
      </c>
      <c r="AV1140" t="s">
        <v>98</v>
      </c>
      <c r="AX1140" t="s">
        <v>2742</v>
      </c>
      <c r="BF1140" t="s">
        <v>3744</v>
      </c>
      <c r="BG1140" t="s">
        <v>98</v>
      </c>
      <c r="BH1140" t="s">
        <v>98</v>
      </c>
      <c r="BI1140" t="s">
        <v>98</v>
      </c>
      <c r="BJ1140" t="s">
        <v>291</v>
      </c>
      <c r="BK1140" t="s">
        <v>292</v>
      </c>
      <c r="CA1140" t="s">
        <v>3745</v>
      </c>
      <c r="CL1140" t="s">
        <v>98</v>
      </c>
      <c r="CM1140" t="s">
        <v>98</v>
      </c>
      <c r="CO1140" s="1">
        <v>40086</v>
      </c>
      <c r="CP1140" s="1">
        <v>43595</v>
      </c>
    </row>
    <row r="1141" spans="1:94" x14ac:dyDescent="0.25">
      <c r="A1141" s="4" t="s">
        <v>3746</v>
      </c>
      <c r="B1141" t="str">
        <f xml:space="preserve"> "" &amp; 706411019371</f>
        <v>706411019371</v>
      </c>
      <c r="C1141" t="s">
        <v>3677</v>
      </c>
      <c r="D1141" t="s">
        <v>3747</v>
      </c>
      <c r="F1141" t="s">
        <v>135</v>
      </c>
      <c r="G1141">
        <v>1</v>
      </c>
      <c r="H1141">
        <v>1</v>
      </c>
      <c r="I1141" t="s">
        <v>97</v>
      </c>
      <c r="J1141" s="32">
        <v>20.95</v>
      </c>
      <c r="K1141" s="32">
        <v>62.85</v>
      </c>
      <c r="L1141">
        <v>0</v>
      </c>
      <c r="N1141">
        <v>0</v>
      </c>
      <c r="T1141">
        <v>22.83</v>
      </c>
      <c r="U1141">
        <v>7.48</v>
      </c>
      <c r="W1141">
        <v>3.1680000000000001</v>
      </c>
      <c r="X1141">
        <v>1</v>
      </c>
      <c r="Y1141">
        <v>9</v>
      </c>
      <c r="Z1141">
        <v>24</v>
      </c>
      <c r="AA1141">
        <v>8.25</v>
      </c>
      <c r="AB1141">
        <v>1.03</v>
      </c>
      <c r="AC1141">
        <v>3.41</v>
      </c>
      <c r="AK1141" t="s">
        <v>98</v>
      </c>
      <c r="AM1141" t="s">
        <v>98</v>
      </c>
      <c r="AN1141" t="s">
        <v>98</v>
      </c>
      <c r="AO1141" t="s">
        <v>98</v>
      </c>
      <c r="AP1141" t="s">
        <v>99</v>
      </c>
      <c r="AQ1141" t="s">
        <v>102</v>
      </c>
      <c r="AV1141" t="s">
        <v>98</v>
      </c>
      <c r="BF1141" t="s">
        <v>3748</v>
      </c>
      <c r="BG1141" t="s">
        <v>98</v>
      </c>
      <c r="BH1141" t="s">
        <v>98</v>
      </c>
      <c r="BI1141" t="s">
        <v>98</v>
      </c>
      <c r="BJ1141" t="s">
        <v>291</v>
      </c>
      <c r="BK1141" t="s">
        <v>292</v>
      </c>
      <c r="CA1141" t="s">
        <v>3745</v>
      </c>
      <c r="CL1141" t="s">
        <v>98</v>
      </c>
      <c r="CM1141" t="s">
        <v>98</v>
      </c>
      <c r="CO1141" s="1">
        <v>39170</v>
      </c>
      <c r="CP1141" s="1">
        <v>43595</v>
      </c>
    </row>
    <row r="1142" spans="1:94" x14ac:dyDescent="0.25">
      <c r="A1142" s="4" t="s">
        <v>3749</v>
      </c>
      <c r="B1142" t="str">
        <f xml:space="preserve"> "" &amp; 706411042881</f>
        <v>706411042881</v>
      </c>
      <c r="C1142" t="s">
        <v>3677</v>
      </c>
      <c r="D1142" t="s">
        <v>3750</v>
      </c>
      <c r="F1142" t="s">
        <v>135</v>
      </c>
      <c r="G1142">
        <v>1</v>
      </c>
      <c r="H1142">
        <v>1</v>
      </c>
      <c r="I1142" t="s">
        <v>97</v>
      </c>
      <c r="J1142" s="32">
        <v>20.95</v>
      </c>
      <c r="K1142" s="32">
        <v>62.85</v>
      </c>
      <c r="L1142">
        <v>0</v>
      </c>
      <c r="N1142">
        <v>0</v>
      </c>
      <c r="W1142">
        <v>3.1680000000000001</v>
      </c>
      <c r="X1142">
        <v>1</v>
      </c>
      <c r="AB1142">
        <v>0.1076</v>
      </c>
      <c r="AC1142">
        <v>3.41</v>
      </c>
      <c r="AK1142" t="s">
        <v>98</v>
      </c>
      <c r="AM1142" t="s">
        <v>98</v>
      </c>
      <c r="AN1142" t="s">
        <v>98</v>
      </c>
      <c r="AO1142" t="s">
        <v>98</v>
      </c>
      <c r="AP1142" t="s">
        <v>99</v>
      </c>
      <c r="AQ1142" t="s">
        <v>102</v>
      </c>
      <c r="AV1142" t="s">
        <v>98</v>
      </c>
      <c r="AX1142" t="s">
        <v>245</v>
      </c>
      <c r="BF1142" t="s">
        <v>3751</v>
      </c>
      <c r="BG1142" t="s">
        <v>98</v>
      </c>
      <c r="BH1142" t="s">
        <v>98</v>
      </c>
      <c r="BI1142" t="s">
        <v>98</v>
      </c>
      <c r="CB1142" t="s">
        <v>245</v>
      </c>
      <c r="CL1142" t="s">
        <v>98</v>
      </c>
      <c r="CM1142" t="s">
        <v>98</v>
      </c>
      <c r="CP1142" s="1">
        <v>43595</v>
      </c>
    </row>
    <row r="1143" spans="1:94" x14ac:dyDescent="0.25">
      <c r="A1143" s="4" t="s">
        <v>3752</v>
      </c>
      <c r="B1143" t="str">
        <f xml:space="preserve"> "" &amp; 706411031953</f>
        <v>706411031953</v>
      </c>
      <c r="C1143" t="s">
        <v>3677</v>
      </c>
      <c r="D1143" t="s">
        <v>3753</v>
      </c>
      <c r="F1143" t="s">
        <v>135</v>
      </c>
      <c r="G1143">
        <v>1</v>
      </c>
      <c r="H1143">
        <v>1</v>
      </c>
      <c r="I1143" t="s">
        <v>97</v>
      </c>
      <c r="J1143" s="32">
        <v>9.9499999999999993</v>
      </c>
      <c r="K1143" s="32">
        <v>29.85</v>
      </c>
      <c r="L1143">
        <v>0</v>
      </c>
      <c r="N1143">
        <v>0</v>
      </c>
      <c r="W1143">
        <v>1.32</v>
      </c>
      <c r="X1143">
        <v>1</v>
      </c>
      <c r="AB1143">
        <v>4.7600000000000003E-2</v>
      </c>
      <c r="AC1143">
        <v>1.6279999999999999</v>
      </c>
      <c r="AK1143" t="s">
        <v>98</v>
      </c>
      <c r="AM1143" t="s">
        <v>98</v>
      </c>
      <c r="AN1143" t="s">
        <v>98</v>
      </c>
      <c r="AO1143" t="s">
        <v>98</v>
      </c>
      <c r="AP1143" t="s">
        <v>99</v>
      </c>
      <c r="AQ1143" t="s">
        <v>102</v>
      </c>
      <c r="AV1143" t="s">
        <v>98</v>
      </c>
      <c r="BF1143" t="s">
        <v>3754</v>
      </c>
      <c r="BG1143" t="s">
        <v>98</v>
      </c>
      <c r="BH1143" t="s">
        <v>98</v>
      </c>
      <c r="BI1143" t="s">
        <v>98</v>
      </c>
      <c r="CL1143" t="s">
        <v>98</v>
      </c>
      <c r="CM1143" t="s">
        <v>98</v>
      </c>
      <c r="CP1143" s="1">
        <v>43595</v>
      </c>
    </row>
    <row r="1144" spans="1:94" x14ac:dyDescent="0.25">
      <c r="A1144" s="4" t="s">
        <v>3755</v>
      </c>
      <c r="B1144" t="str">
        <f xml:space="preserve"> "" &amp; 706411031960</f>
        <v>706411031960</v>
      </c>
      <c r="C1144" t="s">
        <v>3677</v>
      </c>
      <c r="D1144" t="s">
        <v>3756</v>
      </c>
      <c r="F1144" t="s">
        <v>135</v>
      </c>
      <c r="G1144">
        <v>1</v>
      </c>
      <c r="H1144">
        <v>1</v>
      </c>
      <c r="I1144" t="s">
        <v>97</v>
      </c>
      <c r="J1144" s="32">
        <v>9.9499999999999993</v>
      </c>
      <c r="K1144" s="32">
        <v>29.85</v>
      </c>
      <c r="L1144">
        <v>0</v>
      </c>
      <c r="N1144">
        <v>0</v>
      </c>
      <c r="W1144">
        <v>1.32</v>
      </c>
      <c r="X1144">
        <v>1</v>
      </c>
      <c r="AB1144">
        <v>4.7600000000000003E-2</v>
      </c>
      <c r="AC1144">
        <v>1.6279999999999999</v>
      </c>
      <c r="AK1144" t="s">
        <v>98</v>
      </c>
      <c r="AM1144" t="s">
        <v>98</v>
      </c>
      <c r="AN1144" t="s">
        <v>98</v>
      </c>
      <c r="AO1144" t="s">
        <v>98</v>
      </c>
      <c r="AP1144" t="s">
        <v>99</v>
      </c>
      <c r="AQ1144" t="s">
        <v>102</v>
      </c>
      <c r="AV1144" t="s">
        <v>98</v>
      </c>
      <c r="BF1144" t="s">
        <v>3757</v>
      </c>
      <c r="BG1144" t="s">
        <v>98</v>
      </c>
      <c r="BH1144" t="s">
        <v>98</v>
      </c>
      <c r="BI1144" t="s">
        <v>98</v>
      </c>
      <c r="CL1144" t="s">
        <v>98</v>
      </c>
      <c r="CM1144" t="s">
        <v>98</v>
      </c>
      <c r="CP1144" s="1">
        <v>43595</v>
      </c>
    </row>
    <row r="1145" spans="1:94" x14ac:dyDescent="0.25">
      <c r="A1145" s="4" t="s">
        <v>3758</v>
      </c>
      <c r="B1145" t="str">
        <f xml:space="preserve"> "" &amp; 706411031984</f>
        <v>706411031984</v>
      </c>
      <c r="C1145" t="s">
        <v>3677</v>
      </c>
      <c r="D1145" t="s">
        <v>3759</v>
      </c>
      <c r="F1145" t="s">
        <v>135</v>
      </c>
      <c r="G1145">
        <v>1</v>
      </c>
      <c r="H1145">
        <v>1</v>
      </c>
      <c r="I1145" t="s">
        <v>97</v>
      </c>
      <c r="J1145" s="32">
        <v>9.9499999999999993</v>
      </c>
      <c r="K1145" s="32">
        <v>29.85</v>
      </c>
      <c r="L1145">
        <v>0</v>
      </c>
      <c r="N1145">
        <v>0</v>
      </c>
      <c r="W1145">
        <v>1.32</v>
      </c>
      <c r="X1145">
        <v>1</v>
      </c>
      <c r="AB1145">
        <v>4.7600000000000003E-2</v>
      </c>
      <c r="AC1145">
        <v>1.6279999999999999</v>
      </c>
      <c r="AK1145" t="s">
        <v>98</v>
      </c>
      <c r="AM1145" t="s">
        <v>98</v>
      </c>
      <c r="AN1145" t="s">
        <v>98</v>
      </c>
      <c r="AO1145" t="s">
        <v>98</v>
      </c>
      <c r="AP1145" t="s">
        <v>99</v>
      </c>
      <c r="AQ1145" t="s">
        <v>102</v>
      </c>
      <c r="AV1145" t="s">
        <v>98</v>
      </c>
      <c r="BF1145" t="s">
        <v>3760</v>
      </c>
      <c r="BG1145" t="s">
        <v>98</v>
      </c>
      <c r="BH1145" t="s">
        <v>98</v>
      </c>
      <c r="BI1145" t="s">
        <v>98</v>
      </c>
      <c r="CL1145" t="s">
        <v>98</v>
      </c>
      <c r="CM1145" t="s">
        <v>98</v>
      </c>
      <c r="CP1145" s="1">
        <v>43595</v>
      </c>
    </row>
    <row r="1146" spans="1:94" x14ac:dyDescent="0.25">
      <c r="A1146" s="4" t="s">
        <v>3761</v>
      </c>
      <c r="B1146" t="str">
        <f xml:space="preserve"> "" &amp; 706411031991</f>
        <v>706411031991</v>
      </c>
      <c r="C1146" t="s">
        <v>3677</v>
      </c>
      <c r="D1146" t="s">
        <v>3762</v>
      </c>
      <c r="F1146" t="s">
        <v>135</v>
      </c>
      <c r="G1146">
        <v>1</v>
      </c>
      <c r="H1146">
        <v>1</v>
      </c>
      <c r="I1146" t="s">
        <v>97</v>
      </c>
      <c r="J1146" s="32">
        <v>9.9499999999999993</v>
      </c>
      <c r="K1146" s="32">
        <v>29.85</v>
      </c>
      <c r="L1146">
        <v>0</v>
      </c>
      <c r="N1146">
        <v>0</v>
      </c>
      <c r="W1146">
        <v>1.32</v>
      </c>
      <c r="X1146">
        <v>1</v>
      </c>
      <c r="AB1146">
        <v>4.7600000000000003E-2</v>
      </c>
      <c r="AC1146">
        <v>1.6279999999999999</v>
      </c>
      <c r="AK1146" t="s">
        <v>98</v>
      </c>
      <c r="AM1146" t="s">
        <v>98</v>
      </c>
      <c r="AN1146" t="s">
        <v>98</v>
      </c>
      <c r="AO1146" t="s">
        <v>98</v>
      </c>
      <c r="AP1146" t="s">
        <v>99</v>
      </c>
      <c r="AQ1146" t="s">
        <v>102</v>
      </c>
      <c r="AV1146" t="s">
        <v>98</v>
      </c>
      <c r="BF1146" t="s">
        <v>3763</v>
      </c>
      <c r="BG1146" t="s">
        <v>98</v>
      </c>
      <c r="BH1146" t="s">
        <v>98</v>
      </c>
      <c r="BI1146" t="s">
        <v>98</v>
      </c>
      <c r="CL1146" t="s">
        <v>98</v>
      </c>
      <c r="CM1146" t="s">
        <v>98</v>
      </c>
      <c r="CP1146" s="1">
        <v>43595</v>
      </c>
    </row>
    <row r="1147" spans="1:94" x14ac:dyDescent="0.25">
      <c r="A1147" s="4" t="s">
        <v>3764</v>
      </c>
      <c r="B1147" t="str">
        <f xml:space="preserve"> "" &amp; 706411032189</f>
        <v>706411032189</v>
      </c>
      <c r="C1147" t="s">
        <v>3677</v>
      </c>
      <c r="D1147" t="s">
        <v>3765</v>
      </c>
      <c r="F1147" t="s">
        <v>135</v>
      </c>
      <c r="G1147">
        <v>1</v>
      </c>
      <c r="H1147">
        <v>1</v>
      </c>
      <c r="I1147" t="s">
        <v>97</v>
      </c>
      <c r="J1147" s="32">
        <v>16.95</v>
      </c>
      <c r="K1147" s="32">
        <v>50.85</v>
      </c>
      <c r="L1147">
        <v>0</v>
      </c>
      <c r="N1147">
        <v>0</v>
      </c>
      <c r="W1147">
        <v>1.32</v>
      </c>
      <c r="X1147">
        <v>1</v>
      </c>
      <c r="AB1147">
        <v>4.7600000000000003E-2</v>
      </c>
      <c r="AC1147">
        <v>1.6279999999999999</v>
      </c>
      <c r="AK1147" t="s">
        <v>98</v>
      </c>
      <c r="AM1147" t="s">
        <v>98</v>
      </c>
      <c r="AN1147" t="s">
        <v>98</v>
      </c>
      <c r="AO1147" t="s">
        <v>98</v>
      </c>
      <c r="AP1147" t="s">
        <v>99</v>
      </c>
      <c r="AQ1147" t="s">
        <v>102</v>
      </c>
      <c r="AV1147" t="s">
        <v>98</v>
      </c>
      <c r="BF1147" t="s">
        <v>3766</v>
      </c>
      <c r="BG1147" t="s">
        <v>98</v>
      </c>
      <c r="BH1147" t="s">
        <v>98</v>
      </c>
      <c r="BI1147" t="s">
        <v>98</v>
      </c>
      <c r="CL1147" t="s">
        <v>98</v>
      </c>
      <c r="CM1147" t="s">
        <v>98</v>
      </c>
      <c r="CP1147" s="1">
        <v>43595</v>
      </c>
    </row>
    <row r="1148" spans="1:94" x14ac:dyDescent="0.25">
      <c r="A1148" s="4" t="s">
        <v>3767</v>
      </c>
      <c r="B1148" t="str">
        <f xml:space="preserve"> "" &amp; 706411032004</f>
        <v>706411032004</v>
      </c>
      <c r="C1148" t="s">
        <v>3677</v>
      </c>
      <c r="D1148" t="s">
        <v>3768</v>
      </c>
      <c r="F1148" t="s">
        <v>135</v>
      </c>
      <c r="G1148">
        <v>1</v>
      </c>
      <c r="H1148">
        <v>1</v>
      </c>
      <c r="I1148" t="s">
        <v>97</v>
      </c>
      <c r="J1148" s="32">
        <v>10.95</v>
      </c>
      <c r="K1148" s="32">
        <v>32.85</v>
      </c>
      <c r="L1148">
        <v>0</v>
      </c>
      <c r="N1148">
        <v>0</v>
      </c>
      <c r="W1148">
        <v>1.32</v>
      </c>
      <c r="X1148">
        <v>1</v>
      </c>
      <c r="AB1148">
        <v>4.7600000000000003E-2</v>
      </c>
      <c r="AC1148">
        <v>1.6279999999999999</v>
      </c>
      <c r="AK1148" t="s">
        <v>98</v>
      </c>
      <c r="AM1148" t="s">
        <v>98</v>
      </c>
      <c r="AN1148" t="s">
        <v>98</v>
      </c>
      <c r="AO1148" t="s">
        <v>98</v>
      </c>
      <c r="AP1148" t="s">
        <v>99</v>
      </c>
      <c r="AQ1148" t="s">
        <v>102</v>
      </c>
      <c r="AV1148" t="s">
        <v>98</v>
      </c>
      <c r="BF1148" t="s">
        <v>3769</v>
      </c>
      <c r="BG1148" t="s">
        <v>98</v>
      </c>
      <c r="BH1148" t="s">
        <v>98</v>
      </c>
      <c r="BI1148" t="s">
        <v>98</v>
      </c>
      <c r="CL1148" t="s">
        <v>98</v>
      </c>
      <c r="CM1148" t="s">
        <v>98</v>
      </c>
      <c r="CP1148" s="1">
        <v>43595</v>
      </c>
    </row>
    <row r="1149" spans="1:94" x14ac:dyDescent="0.25">
      <c r="A1149" s="4" t="s">
        <v>3770</v>
      </c>
      <c r="B1149" t="str">
        <f xml:space="preserve"> "" &amp; 706411032011</f>
        <v>706411032011</v>
      </c>
      <c r="C1149" t="s">
        <v>3677</v>
      </c>
      <c r="D1149" t="s">
        <v>3771</v>
      </c>
      <c r="F1149" t="s">
        <v>135</v>
      </c>
      <c r="G1149">
        <v>1</v>
      </c>
      <c r="H1149">
        <v>1</v>
      </c>
      <c r="I1149" t="s">
        <v>97</v>
      </c>
      <c r="J1149" s="32">
        <v>10.95</v>
      </c>
      <c r="K1149" s="32">
        <v>32.85</v>
      </c>
      <c r="L1149">
        <v>0</v>
      </c>
      <c r="N1149">
        <v>0</v>
      </c>
      <c r="W1149">
        <v>1.32</v>
      </c>
      <c r="X1149">
        <v>1</v>
      </c>
      <c r="AB1149">
        <v>4.7600000000000003E-2</v>
      </c>
      <c r="AC1149">
        <v>1.6279999999999999</v>
      </c>
      <c r="AK1149" t="s">
        <v>98</v>
      </c>
      <c r="AM1149" t="s">
        <v>98</v>
      </c>
      <c r="AN1149" t="s">
        <v>98</v>
      </c>
      <c r="AO1149" t="s">
        <v>98</v>
      </c>
      <c r="AP1149" t="s">
        <v>99</v>
      </c>
      <c r="AQ1149" t="s">
        <v>102</v>
      </c>
      <c r="AV1149" t="s">
        <v>98</v>
      </c>
      <c r="BF1149" t="s">
        <v>3772</v>
      </c>
      <c r="BG1149" t="s">
        <v>98</v>
      </c>
      <c r="BH1149" t="s">
        <v>98</v>
      </c>
      <c r="BI1149" t="s">
        <v>98</v>
      </c>
      <c r="CL1149" t="s">
        <v>98</v>
      </c>
      <c r="CM1149" t="s">
        <v>98</v>
      </c>
      <c r="CP1149" s="1">
        <v>43595</v>
      </c>
    </row>
    <row r="1150" spans="1:94" x14ac:dyDescent="0.25">
      <c r="A1150" s="4" t="s">
        <v>3773</v>
      </c>
      <c r="B1150" t="str">
        <f xml:space="preserve"> "" &amp; 706411032028</f>
        <v>706411032028</v>
      </c>
      <c r="C1150" t="s">
        <v>3677</v>
      </c>
      <c r="D1150" t="s">
        <v>3774</v>
      </c>
      <c r="F1150" t="s">
        <v>135</v>
      </c>
      <c r="G1150">
        <v>1</v>
      </c>
      <c r="H1150">
        <v>1</v>
      </c>
      <c r="I1150" t="s">
        <v>97</v>
      </c>
      <c r="J1150" s="32">
        <v>10.95</v>
      </c>
      <c r="K1150" s="32">
        <v>32.85</v>
      </c>
      <c r="L1150">
        <v>0</v>
      </c>
      <c r="N1150">
        <v>0</v>
      </c>
      <c r="W1150">
        <v>2.1120000000000001</v>
      </c>
      <c r="X1150">
        <v>1</v>
      </c>
      <c r="AB1150">
        <v>0.13200000000000001</v>
      </c>
      <c r="AC1150">
        <v>2.42</v>
      </c>
      <c r="AK1150" t="s">
        <v>98</v>
      </c>
      <c r="AM1150" t="s">
        <v>98</v>
      </c>
      <c r="AN1150" t="s">
        <v>98</v>
      </c>
      <c r="AO1150" t="s">
        <v>98</v>
      </c>
      <c r="AP1150" t="s">
        <v>99</v>
      </c>
      <c r="AQ1150" t="s">
        <v>102</v>
      </c>
      <c r="AV1150" t="s">
        <v>98</v>
      </c>
      <c r="BF1150" t="s">
        <v>3775</v>
      </c>
      <c r="BG1150" t="s">
        <v>98</v>
      </c>
      <c r="BH1150" t="s">
        <v>98</v>
      </c>
      <c r="BI1150" t="s">
        <v>98</v>
      </c>
      <c r="CL1150" t="s">
        <v>98</v>
      </c>
      <c r="CM1150" t="s">
        <v>98</v>
      </c>
      <c r="CP1150" s="1">
        <v>43595</v>
      </c>
    </row>
    <row r="1151" spans="1:94" x14ac:dyDescent="0.25">
      <c r="A1151" s="4" t="s">
        <v>3776</v>
      </c>
      <c r="B1151" t="str">
        <f xml:space="preserve"> "" &amp; 706411032035</f>
        <v>706411032035</v>
      </c>
      <c r="C1151" t="s">
        <v>3677</v>
      </c>
      <c r="D1151" t="s">
        <v>3777</v>
      </c>
      <c r="F1151" t="s">
        <v>135</v>
      </c>
      <c r="G1151">
        <v>1</v>
      </c>
      <c r="H1151">
        <v>1</v>
      </c>
      <c r="I1151" t="s">
        <v>97</v>
      </c>
      <c r="J1151" s="32">
        <v>10.95</v>
      </c>
      <c r="K1151" s="32">
        <v>32.85</v>
      </c>
      <c r="L1151">
        <v>0</v>
      </c>
      <c r="N1151">
        <v>0</v>
      </c>
      <c r="W1151">
        <v>2.1120000000000001</v>
      </c>
      <c r="X1151">
        <v>1</v>
      </c>
      <c r="AB1151">
        <v>0.13200000000000001</v>
      </c>
      <c r="AC1151">
        <v>2.42</v>
      </c>
      <c r="AK1151" t="s">
        <v>98</v>
      </c>
      <c r="AM1151" t="s">
        <v>98</v>
      </c>
      <c r="AN1151" t="s">
        <v>98</v>
      </c>
      <c r="AO1151" t="s">
        <v>98</v>
      </c>
      <c r="AP1151" t="s">
        <v>99</v>
      </c>
      <c r="AQ1151" t="s">
        <v>102</v>
      </c>
      <c r="AV1151" t="s">
        <v>98</v>
      </c>
      <c r="BF1151" t="s">
        <v>3778</v>
      </c>
      <c r="BG1151" t="s">
        <v>98</v>
      </c>
      <c r="BH1151" t="s">
        <v>98</v>
      </c>
      <c r="BI1151" t="s">
        <v>98</v>
      </c>
      <c r="CL1151" t="s">
        <v>98</v>
      </c>
      <c r="CM1151" t="s">
        <v>98</v>
      </c>
      <c r="CP1151" s="1">
        <v>43595</v>
      </c>
    </row>
    <row r="1152" spans="1:94" x14ac:dyDescent="0.25">
      <c r="A1152" s="4" t="s">
        <v>3779</v>
      </c>
      <c r="B1152" t="str">
        <f xml:space="preserve"> "" &amp; 706411032059</f>
        <v>706411032059</v>
      </c>
      <c r="C1152" t="s">
        <v>3677</v>
      </c>
      <c r="D1152" t="s">
        <v>3780</v>
      </c>
      <c r="F1152" t="s">
        <v>135</v>
      </c>
      <c r="G1152">
        <v>1</v>
      </c>
      <c r="H1152">
        <v>1</v>
      </c>
      <c r="I1152" t="s">
        <v>97</v>
      </c>
      <c r="J1152" s="32">
        <v>10.95</v>
      </c>
      <c r="K1152" s="32">
        <v>32.85</v>
      </c>
      <c r="L1152">
        <v>0</v>
      </c>
      <c r="N1152">
        <v>0</v>
      </c>
      <c r="W1152">
        <v>2.1120000000000001</v>
      </c>
      <c r="X1152">
        <v>1</v>
      </c>
      <c r="AB1152">
        <v>0.13200000000000001</v>
      </c>
      <c r="AC1152">
        <v>2.42</v>
      </c>
      <c r="AK1152" t="s">
        <v>98</v>
      </c>
      <c r="AM1152" t="s">
        <v>98</v>
      </c>
      <c r="AN1152" t="s">
        <v>98</v>
      </c>
      <c r="AO1152" t="s">
        <v>98</v>
      </c>
      <c r="AP1152" t="s">
        <v>99</v>
      </c>
      <c r="AQ1152" t="s">
        <v>102</v>
      </c>
      <c r="AV1152" t="s">
        <v>98</v>
      </c>
      <c r="BF1152" t="s">
        <v>3781</v>
      </c>
      <c r="BG1152" t="s">
        <v>98</v>
      </c>
      <c r="BH1152" t="s">
        <v>98</v>
      </c>
      <c r="BI1152" t="s">
        <v>98</v>
      </c>
      <c r="CL1152" t="s">
        <v>98</v>
      </c>
      <c r="CM1152" t="s">
        <v>98</v>
      </c>
      <c r="CP1152" s="1">
        <v>43595</v>
      </c>
    </row>
    <row r="1153" spans="1:94" x14ac:dyDescent="0.25">
      <c r="A1153" s="4" t="s">
        <v>3782</v>
      </c>
      <c r="B1153" t="str">
        <f xml:space="preserve"> "" &amp; 706411032066</f>
        <v>706411032066</v>
      </c>
      <c r="C1153" t="s">
        <v>3677</v>
      </c>
      <c r="D1153" t="s">
        <v>3783</v>
      </c>
      <c r="F1153" t="s">
        <v>135</v>
      </c>
      <c r="G1153">
        <v>1</v>
      </c>
      <c r="H1153">
        <v>1</v>
      </c>
      <c r="I1153" t="s">
        <v>97</v>
      </c>
      <c r="J1153" s="32">
        <v>10.95</v>
      </c>
      <c r="K1153" s="32">
        <v>32.85</v>
      </c>
      <c r="L1153">
        <v>0</v>
      </c>
      <c r="N1153">
        <v>0</v>
      </c>
      <c r="W1153">
        <v>2.1120000000000001</v>
      </c>
      <c r="X1153">
        <v>1</v>
      </c>
      <c r="AB1153">
        <v>0.13200000000000001</v>
      </c>
      <c r="AC1153">
        <v>2.42</v>
      </c>
      <c r="AK1153" t="s">
        <v>98</v>
      </c>
      <c r="AM1153" t="s">
        <v>98</v>
      </c>
      <c r="AN1153" t="s">
        <v>98</v>
      </c>
      <c r="AO1153" t="s">
        <v>98</v>
      </c>
      <c r="AP1153" t="s">
        <v>99</v>
      </c>
      <c r="AQ1153" t="s">
        <v>102</v>
      </c>
      <c r="AV1153" t="s">
        <v>98</v>
      </c>
      <c r="BF1153" t="s">
        <v>3784</v>
      </c>
      <c r="BG1153" t="s">
        <v>98</v>
      </c>
      <c r="BH1153" t="s">
        <v>98</v>
      </c>
      <c r="BI1153" t="s">
        <v>98</v>
      </c>
      <c r="CL1153" t="s">
        <v>98</v>
      </c>
      <c r="CM1153" t="s">
        <v>98</v>
      </c>
      <c r="CP1153" s="1">
        <v>43595</v>
      </c>
    </row>
    <row r="1154" spans="1:94" x14ac:dyDescent="0.25">
      <c r="A1154" s="4" t="s">
        <v>3785</v>
      </c>
      <c r="B1154" t="str">
        <f xml:space="preserve"> "" &amp; 706411032080</f>
        <v>706411032080</v>
      </c>
      <c r="C1154" t="s">
        <v>3677</v>
      </c>
      <c r="D1154" t="s">
        <v>3786</v>
      </c>
      <c r="F1154" t="s">
        <v>135</v>
      </c>
      <c r="G1154">
        <v>1</v>
      </c>
      <c r="H1154">
        <v>1</v>
      </c>
      <c r="I1154" t="s">
        <v>97</v>
      </c>
      <c r="J1154" s="32">
        <v>15.95</v>
      </c>
      <c r="K1154" s="32">
        <v>47.85</v>
      </c>
      <c r="L1154">
        <v>0</v>
      </c>
      <c r="N1154">
        <v>0</v>
      </c>
      <c r="W1154">
        <v>2.1120000000000001</v>
      </c>
      <c r="X1154">
        <v>1</v>
      </c>
      <c r="AB1154">
        <v>0.13200000000000001</v>
      </c>
      <c r="AC1154">
        <v>2.42</v>
      </c>
      <c r="AK1154" t="s">
        <v>98</v>
      </c>
      <c r="AM1154" t="s">
        <v>98</v>
      </c>
      <c r="AN1154" t="s">
        <v>98</v>
      </c>
      <c r="AO1154" t="s">
        <v>98</v>
      </c>
      <c r="AP1154" t="s">
        <v>99</v>
      </c>
      <c r="AQ1154" t="s">
        <v>102</v>
      </c>
      <c r="AV1154" t="s">
        <v>98</v>
      </c>
      <c r="BF1154" t="s">
        <v>3787</v>
      </c>
      <c r="BG1154" t="s">
        <v>98</v>
      </c>
      <c r="BH1154" t="s">
        <v>98</v>
      </c>
      <c r="BI1154" t="s">
        <v>98</v>
      </c>
      <c r="CL1154" t="s">
        <v>98</v>
      </c>
      <c r="CM1154" t="s">
        <v>98</v>
      </c>
      <c r="CP1154" s="1">
        <v>43595</v>
      </c>
    </row>
    <row r="1155" spans="1:94" x14ac:dyDescent="0.25">
      <c r="A1155" s="4" t="s">
        <v>3788</v>
      </c>
      <c r="B1155" t="str">
        <f xml:space="preserve"> "" &amp; 706411032097</f>
        <v>706411032097</v>
      </c>
      <c r="C1155" t="s">
        <v>3677</v>
      </c>
      <c r="D1155" t="s">
        <v>3789</v>
      </c>
      <c r="F1155" t="s">
        <v>135</v>
      </c>
      <c r="G1155">
        <v>1</v>
      </c>
      <c r="H1155">
        <v>1</v>
      </c>
      <c r="I1155" t="s">
        <v>97</v>
      </c>
      <c r="J1155" s="32">
        <v>10.95</v>
      </c>
      <c r="K1155" s="32">
        <v>32.85</v>
      </c>
      <c r="L1155">
        <v>0</v>
      </c>
      <c r="N1155">
        <v>0</v>
      </c>
      <c r="W1155">
        <v>2.1120000000000001</v>
      </c>
      <c r="X1155">
        <v>1</v>
      </c>
      <c r="AB1155">
        <v>0.13200000000000001</v>
      </c>
      <c r="AC1155">
        <v>2.42</v>
      </c>
      <c r="AK1155" t="s">
        <v>98</v>
      </c>
      <c r="AM1155" t="s">
        <v>98</v>
      </c>
      <c r="AN1155" t="s">
        <v>98</v>
      </c>
      <c r="AO1155" t="s">
        <v>98</v>
      </c>
      <c r="AP1155" t="s">
        <v>99</v>
      </c>
      <c r="AQ1155" t="s">
        <v>102</v>
      </c>
      <c r="AV1155" t="s">
        <v>98</v>
      </c>
      <c r="BF1155" t="s">
        <v>3790</v>
      </c>
      <c r="BG1155" t="s">
        <v>98</v>
      </c>
      <c r="BH1155" t="s">
        <v>98</v>
      </c>
      <c r="BI1155" t="s">
        <v>98</v>
      </c>
      <c r="CL1155" t="s">
        <v>98</v>
      </c>
      <c r="CM1155" t="s">
        <v>98</v>
      </c>
      <c r="CP1155" s="1">
        <v>43595</v>
      </c>
    </row>
    <row r="1156" spans="1:94" x14ac:dyDescent="0.25">
      <c r="A1156" s="4" t="s">
        <v>3791</v>
      </c>
      <c r="B1156" t="str">
        <f xml:space="preserve"> "" &amp; 706411032103</f>
        <v>706411032103</v>
      </c>
      <c r="C1156" t="s">
        <v>3677</v>
      </c>
      <c r="D1156" t="s">
        <v>3792</v>
      </c>
      <c r="F1156" t="s">
        <v>135</v>
      </c>
      <c r="G1156">
        <v>1</v>
      </c>
      <c r="H1156">
        <v>1</v>
      </c>
      <c r="I1156" t="s">
        <v>97</v>
      </c>
      <c r="J1156" s="32">
        <v>10.95</v>
      </c>
      <c r="K1156" s="32">
        <v>32.85</v>
      </c>
      <c r="L1156">
        <v>0</v>
      </c>
      <c r="N1156">
        <v>0</v>
      </c>
      <c r="W1156">
        <v>2.1120000000000001</v>
      </c>
      <c r="X1156">
        <v>1</v>
      </c>
      <c r="AB1156">
        <v>0.13200000000000001</v>
      </c>
      <c r="AC1156">
        <v>2.42</v>
      </c>
      <c r="AK1156" t="s">
        <v>98</v>
      </c>
      <c r="AM1156" t="s">
        <v>98</v>
      </c>
      <c r="AN1156" t="s">
        <v>98</v>
      </c>
      <c r="AO1156" t="s">
        <v>98</v>
      </c>
      <c r="AP1156" t="s">
        <v>99</v>
      </c>
      <c r="AQ1156" t="s">
        <v>102</v>
      </c>
      <c r="AV1156" t="s">
        <v>98</v>
      </c>
      <c r="BF1156" t="s">
        <v>3793</v>
      </c>
      <c r="BG1156" t="s">
        <v>98</v>
      </c>
      <c r="BH1156" t="s">
        <v>98</v>
      </c>
      <c r="BI1156" t="s">
        <v>98</v>
      </c>
      <c r="CL1156" t="s">
        <v>98</v>
      </c>
      <c r="CM1156" t="s">
        <v>98</v>
      </c>
      <c r="CP1156" s="1">
        <v>43595</v>
      </c>
    </row>
    <row r="1157" spans="1:94" x14ac:dyDescent="0.25">
      <c r="A1157" s="4" t="s">
        <v>3794</v>
      </c>
      <c r="B1157" t="str">
        <f xml:space="preserve"> "" &amp; 706411032110</f>
        <v>706411032110</v>
      </c>
      <c r="C1157" t="s">
        <v>3677</v>
      </c>
      <c r="D1157" t="s">
        <v>3795</v>
      </c>
      <c r="F1157" t="s">
        <v>135</v>
      </c>
      <c r="G1157">
        <v>1</v>
      </c>
      <c r="H1157">
        <v>1</v>
      </c>
      <c r="I1157" t="s">
        <v>97</v>
      </c>
      <c r="J1157" s="32">
        <v>12.95</v>
      </c>
      <c r="K1157" s="32">
        <v>38.85</v>
      </c>
      <c r="L1157">
        <v>0</v>
      </c>
      <c r="N1157">
        <v>0</v>
      </c>
      <c r="W1157">
        <v>3.121</v>
      </c>
      <c r="X1157">
        <v>1</v>
      </c>
      <c r="AB1157">
        <v>0.1041</v>
      </c>
      <c r="AC1157">
        <v>3.3149999999999999</v>
      </c>
      <c r="AK1157" t="s">
        <v>98</v>
      </c>
      <c r="AM1157" t="s">
        <v>98</v>
      </c>
      <c r="AN1157" t="s">
        <v>98</v>
      </c>
      <c r="AO1157" t="s">
        <v>98</v>
      </c>
      <c r="AP1157" t="s">
        <v>99</v>
      </c>
      <c r="AQ1157" t="s">
        <v>102</v>
      </c>
      <c r="AV1157" t="s">
        <v>98</v>
      </c>
      <c r="BF1157" t="s">
        <v>3796</v>
      </c>
      <c r="BG1157" t="s">
        <v>98</v>
      </c>
      <c r="BH1157" t="s">
        <v>98</v>
      </c>
      <c r="BI1157" t="s">
        <v>98</v>
      </c>
      <c r="CL1157" t="s">
        <v>98</v>
      </c>
      <c r="CM1157" t="s">
        <v>98</v>
      </c>
      <c r="CP1157" s="1">
        <v>43595</v>
      </c>
    </row>
    <row r="1158" spans="1:94" x14ac:dyDescent="0.25">
      <c r="A1158" s="4" t="s">
        <v>3797</v>
      </c>
      <c r="B1158" t="str">
        <f xml:space="preserve"> "" &amp; 706411031878</f>
        <v>706411031878</v>
      </c>
      <c r="C1158" t="s">
        <v>3677</v>
      </c>
      <c r="D1158" t="s">
        <v>3798</v>
      </c>
      <c r="F1158" t="s">
        <v>551</v>
      </c>
      <c r="G1158">
        <v>1</v>
      </c>
      <c r="H1158">
        <v>1</v>
      </c>
      <c r="I1158" t="s">
        <v>97</v>
      </c>
      <c r="J1158" s="32">
        <v>13.95</v>
      </c>
      <c r="K1158" s="32">
        <v>41.85</v>
      </c>
      <c r="L1158">
        <v>0</v>
      </c>
      <c r="N1158">
        <v>0</v>
      </c>
      <c r="S1158">
        <v>0.24</v>
      </c>
      <c r="T1158">
        <v>21.46</v>
      </c>
      <c r="W1158">
        <v>3.2120000000000002</v>
      </c>
      <c r="X1158">
        <v>1</v>
      </c>
      <c r="Y1158">
        <v>13</v>
      </c>
      <c r="Z1158">
        <v>22</v>
      </c>
      <c r="AA1158">
        <v>7.5</v>
      </c>
      <c r="AB1158">
        <v>1.24</v>
      </c>
      <c r="AC1158">
        <v>3.3149999999999999</v>
      </c>
      <c r="AK1158" t="s">
        <v>98</v>
      </c>
      <c r="AM1158" t="s">
        <v>98</v>
      </c>
      <c r="AN1158" t="s">
        <v>98</v>
      </c>
      <c r="AO1158" t="s">
        <v>98</v>
      </c>
      <c r="AP1158" t="s">
        <v>99</v>
      </c>
      <c r="AQ1158" t="s">
        <v>102</v>
      </c>
      <c r="AV1158" t="s">
        <v>98</v>
      </c>
      <c r="AX1158" t="s">
        <v>2742</v>
      </c>
      <c r="BF1158" t="s">
        <v>3799</v>
      </c>
      <c r="BG1158" t="s">
        <v>98</v>
      </c>
      <c r="BH1158" t="s">
        <v>98</v>
      </c>
      <c r="BI1158" t="s">
        <v>98</v>
      </c>
      <c r="BK1158" t="s">
        <v>138</v>
      </c>
      <c r="CA1158" t="s">
        <v>3800</v>
      </c>
      <c r="CB1158" t="s">
        <v>2742</v>
      </c>
      <c r="CL1158" t="s">
        <v>98</v>
      </c>
      <c r="CM1158" t="s">
        <v>98</v>
      </c>
      <c r="CO1158" s="1">
        <v>40086</v>
      </c>
      <c r="CP1158" s="1">
        <v>43595</v>
      </c>
    </row>
    <row r="1159" spans="1:94" x14ac:dyDescent="0.25">
      <c r="A1159" s="4" t="s">
        <v>3801</v>
      </c>
      <c r="B1159" t="str">
        <f xml:space="preserve"> "" &amp; 706411032127</f>
        <v>706411032127</v>
      </c>
      <c r="C1159" t="s">
        <v>3677</v>
      </c>
      <c r="D1159" t="s">
        <v>3802</v>
      </c>
      <c r="F1159" t="s">
        <v>135</v>
      </c>
      <c r="G1159">
        <v>1</v>
      </c>
      <c r="H1159">
        <v>1</v>
      </c>
      <c r="I1159" t="s">
        <v>97</v>
      </c>
      <c r="J1159" s="32">
        <v>12.95</v>
      </c>
      <c r="K1159" s="32">
        <v>38.85</v>
      </c>
      <c r="L1159">
        <v>0</v>
      </c>
      <c r="N1159">
        <v>0</v>
      </c>
      <c r="W1159">
        <v>3.2120000000000002</v>
      </c>
      <c r="X1159">
        <v>1</v>
      </c>
      <c r="AB1159">
        <v>0.1041</v>
      </c>
      <c r="AC1159">
        <v>3.3149999999999999</v>
      </c>
      <c r="AK1159" t="s">
        <v>98</v>
      </c>
      <c r="AM1159" t="s">
        <v>98</v>
      </c>
      <c r="AN1159" t="s">
        <v>98</v>
      </c>
      <c r="AO1159" t="s">
        <v>98</v>
      </c>
      <c r="AP1159" t="s">
        <v>99</v>
      </c>
      <c r="AQ1159" t="s">
        <v>102</v>
      </c>
      <c r="AV1159" t="s">
        <v>98</v>
      </c>
      <c r="BF1159" t="s">
        <v>3803</v>
      </c>
      <c r="BG1159" t="s">
        <v>98</v>
      </c>
      <c r="BH1159" t="s">
        <v>98</v>
      </c>
      <c r="BI1159" t="s">
        <v>98</v>
      </c>
      <c r="CL1159" t="s">
        <v>98</v>
      </c>
      <c r="CM1159" t="s">
        <v>98</v>
      </c>
      <c r="CP1159" s="1">
        <v>43595</v>
      </c>
    </row>
    <row r="1160" spans="1:94" x14ac:dyDescent="0.25">
      <c r="A1160" s="4" t="s">
        <v>3804</v>
      </c>
      <c r="B1160" t="str">
        <f xml:space="preserve"> "" &amp; 706411032134</f>
        <v>706411032134</v>
      </c>
      <c r="C1160" t="s">
        <v>3677</v>
      </c>
      <c r="D1160" t="s">
        <v>3805</v>
      </c>
      <c r="F1160" t="s">
        <v>135</v>
      </c>
      <c r="G1160">
        <v>1</v>
      </c>
      <c r="H1160">
        <v>1</v>
      </c>
      <c r="I1160" t="s">
        <v>97</v>
      </c>
      <c r="J1160" s="32">
        <v>12.95</v>
      </c>
      <c r="K1160" s="32">
        <v>38.85</v>
      </c>
      <c r="L1160">
        <v>0</v>
      </c>
      <c r="N1160">
        <v>0</v>
      </c>
      <c r="W1160">
        <v>3.2120000000000002</v>
      </c>
      <c r="X1160">
        <v>1</v>
      </c>
      <c r="AB1160">
        <v>0.1041</v>
      </c>
      <c r="AC1160">
        <v>3.3149999999999999</v>
      </c>
      <c r="AK1160" t="s">
        <v>98</v>
      </c>
      <c r="AM1160" t="s">
        <v>98</v>
      </c>
      <c r="AN1160" t="s">
        <v>98</v>
      </c>
      <c r="AO1160" t="s">
        <v>98</v>
      </c>
      <c r="AP1160" t="s">
        <v>99</v>
      </c>
      <c r="AQ1160" t="s">
        <v>102</v>
      </c>
      <c r="AV1160" t="s">
        <v>98</v>
      </c>
      <c r="BF1160" t="s">
        <v>3806</v>
      </c>
      <c r="BG1160" t="s">
        <v>98</v>
      </c>
      <c r="BH1160" t="s">
        <v>98</v>
      </c>
      <c r="BI1160" t="s">
        <v>98</v>
      </c>
      <c r="CL1160" t="s">
        <v>98</v>
      </c>
      <c r="CM1160" t="s">
        <v>98</v>
      </c>
      <c r="CP1160" s="1">
        <v>43595</v>
      </c>
    </row>
    <row r="1161" spans="1:94" x14ac:dyDescent="0.25">
      <c r="A1161" s="4" t="s">
        <v>3807</v>
      </c>
      <c r="B1161" t="str">
        <f xml:space="preserve"> "" &amp; 706411032158</f>
        <v>706411032158</v>
      </c>
      <c r="C1161" t="s">
        <v>3677</v>
      </c>
      <c r="D1161" t="s">
        <v>3808</v>
      </c>
      <c r="F1161" t="s">
        <v>135</v>
      </c>
      <c r="G1161">
        <v>1</v>
      </c>
      <c r="H1161">
        <v>1</v>
      </c>
      <c r="I1161" t="s">
        <v>97</v>
      </c>
      <c r="J1161" s="32">
        <v>20.95</v>
      </c>
      <c r="K1161" s="32">
        <v>62.85</v>
      </c>
      <c r="L1161">
        <v>0</v>
      </c>
      <c r="N1161">
        <v>0</v>
      </c>
      <c r="W1161">
        <v>3.2120000000000002</v>
      </c>
      <c r="X1161">
        <v>1</v>
      </c>
      <c r="AB1161">
        <v>0.1041</v>
      </c>
      <c r="AC1161">
        <v>3.3149999999999999</v>
      </c>
      <c r="AK1161" t="s">
        <v>98</v>
      </c>
      <c r="AM1161" t="s">
        <v>98</v>
      </c>
      <c r="AN1161" t="s">
        <v>98</v>
      </c>
      <c r="AO1161" t="s">
        <v>98</v>
      </c>
      <c r="AP1161" t="s">
        <v>99</v>
      </c>
      <c r="AQ1161" t="s">
        <v>102</v>
      </c>
      <c r="AV1161" t="s">
        <v>98</v>
      </c>
      <c r="BF1161" t="s">
        <v>3809</v>
      </c>
      <c r="BG1161" t="s">
        <v>98</v>
      </c>
      <c r="BH1161" t="s">
        <v>98</v>
      </c>
      <c r="BI1161" t="s">
        <v>98</v>
      </c>
      <c r="CL1161" t="s">
        <v>98</v>
      </c>
      <c r="CM1161" t="s">
        <v>98</v>
      </c>
      <c r="CP1161" s="1">
        <v>43595</v>
      </c>
    </row>
    <row r="1162" spans="1:94" x14ac:dyDescent="0.25">
      <c r="A1162" s="4" t="s">
        <v>3810</v>
      </c>
      <c r="B1162" t="str">
        <f xml:space="preserve"> "" &amp; 706411031939</f>
        <v>706411031939</v>
      </c>
      <c r="C1162" t="s">
        <v>3677</v>
      </c>
      <c r="D1162" t="s">
        <v>3811</v>
      </c>
      <c r="F1162" t="s">
        <v>551</v>
      </c>
      <c r="G1162">
        <v>1</v>
      </c>
      <c r="H1162">
        <v>1</v>
      </c>
      <c r="I1162" t="s">
        <v>97</v>
      </c>
      <c r="J1162" s="32">
        <v>13.95</v>
      </c>
      <c r="K1162" s="32">
        <v>41.85</v>
      </c>
      <c r="L1162">
        <v>0</v>
      </c>
      <c r="N1162">
        <v>0</v>
      </c>
      <c r="W1162">
        <v>3.2120000000000002</v>
      </c>
      <c r="X1162">
        <v>1</v>
      </c>
      <c r="Y1162">
        <v>13</v>
      </c>
      <c r="Z1162">
        <v>22</v>
      </c>
      <c r="AA1162">
        <v>7.5</v>
      </c>
      <c r="AB1162">
        <v>1.24</v>
      </c>
      <c r="AC1162">
        <v>3.3149999999999999</v>
      </c>
      <c r="AK1162" t="s">
        <v>98</v>
      </c>
      <c r="AM1162" t="s">
        <v>98</v>
      </c>
      <c r="AN1162" t="s">
        <v>98</v>
      </c>
      <c r="AO1162" t="s">
        <v>98</v>
      </c>
      <c r="AP1162" t="s">
        <v>99</v>
      </c>
      <c r="AQ1162" t="s">
        <v>102</v>
      </c>
      <c r="AV1162" t="s">
        <v>98</v>
      </c>
      <c r="BF1162" t="s">
        <v>3812</v>
      </c>
      <c r="BG1162" t="s">
        <v>98</v>
      </c>
      <c r="BH1162" t="s">
        <v>98</v>
      </c>
      <c r="BI1162" t="s">
        <v>98</v>
      </c>
      <c r="BK1162" t="s">
        <v>138</v>
      </c>
      <c r="CA1162" t="s">
        <v>3800</v>
      </c>
      <c r="CL1162" t="s">
        <v>98</v>
      </c>
      <c r="CM1162" t="s">
        <v>98</v>
      </c>
      <c r="CO1162" s="1">
        <v>40086</v>
      </c>
      <c r="CP1162" s="1">
        <v>43595</v>
      </c>
    </row>
    <row r="1163" spans="1:94" x14ac:dyDescent="0.25">
      <c r="A1163" s="4" t="s">
        <v>3813</v>
      </c>
      <c r="B1163" t="str">
        <f xml:space="preserve"> "" &amp; 706411032165</f>
        <v>706411032165</v>
      </c>
      <c r="C1163" t="s">
        <v>3677</v>
      </c>
      <c r="D1163" t="s">
        <v>3814</v>
      </c>
      <c r="F1163" t="s">
        <v>135</v>
      </c>
      <c r="G1163">
        <v>1</v>
      </c>
      <c r="H1163">
        <v>1</v>
      </c>
      <c r="I1163" t="s">
        <v>97</v>
      </c>
      <c r="J1163" s="32">
        <v>12.95</v>
      </c>
      <c r="K1163" s="32">
        <v>38.85</v>
      </c>
      <c r="L1163">
        <v>0</v>
      </c>
      <c r="N1163">
        <v>0</v>
      </c>
      <c r="W1163">
        <v>3.2120000000000002</v>
      </c>
      <c r="X1163">
        <v>1</v>
      </c>
      <c r="AB1163">
        <v>0.1041</v>
      </c>
      <c r="AC1163">
        <v>3.3149999999999999</v>
      </c>
      <c r="AK1163" t="s">
        <v>98</v>
      </c>
      <c r="AM1163" t="s">
        <v>98</v>
      </c>
      <c r="AN1163" t="s">
        <v>98</v>
      </c>
      <c r="AO1163" t="s">
        <v>98</v>
      </c>
      <c r="AP1163" t="s">
        <v>99</v>
      </c>
      <c r="AQ1163" t="s">
        <v>102</v>
      </c>
      <c r="AV1163" t="s">
        <v>98</v>
      </c>
      <c r="BF1163" t="s">
        <v>3815</v>
      </c>
      <c r="BG1163" t="s">
        <v>98</v>
      </c>
      <c r="BH1163" t="s">
        <v>98</v>
      </c>
      <c r="BI1163" t="s">
        <v>98</v>
      </c>
      <c r="CL1163" t="s">
        <v>98</v>
      </c>
      <c r="CM1163" t="s">
        <v>98</v>
      </c>
      <c r="CP1163" s="1">
        <v>43595</v>
      </c>
    </row>
    <row r="1164" spans="1:94" x14ac:dyDescent="0.25">
      <c r="A1164" s="4" t="s">
        <v>3816</v>
      </c>
      <c r="B1164" t="str">
        <f xml:space="preserve"> "" &amp; 706411032172</f>
        <v>706411032172</v>
      </c>
      <c r="C1164" t="s">
        <v>3677</v>
      </c>
      <c r="D1164" t="s">
        <v>3817</v>
      </c>
      <c r="F1164" t="s">
        <v>135</v>
      </c>
      <c r="G1164">
        <v>1</v>
      </c>
      <c r="H1164">
        <v>1</v>
      </c>
      <c r="I1164" t="s">
        <v>97</v>
      </c>
      <c r="J1164" s="32">
        <v>12.95</v>
      </c>
      <c r="K1164" s="32">
        <v>38.85</v>
      </c>
      <c r="L1164">
        <v>0</v>
      </c>
      <c r="N1164">
        <v>0</v>
      </c>
      <c r="W1164">
        <v>3.2120000000000002</v>
      </c>
      <c r="X1164">
        <v>1</v>
      </c>
      <c r="AB1164">
        <v>0.1041</v>
      </c>
      <c r="AC1164">
        <v>3.3149999999999999</v>
      </c>
      <c r="AK1164" t="s">
        <v>98</v>
      </c>
      <c r="AM1164" t="s">
        <v>98</v>
      </c>
      <c r="AN1164" t="s">
        <v>98</v>
      </c>
      <c r="AO1164" t="s">
        <v>98</v>
      </c>
      <c r="AP1164" t="s">
        <v>99</v>
      </c>
      <c r="AQ1164" t="s">
        <v>102</v>
      </c>
      <c r="AV1164" t="s">
        <v>98</v>
      </c>
      <c r="BF1164" t="s">
        <v>3818</v>
      </c>
      <c r="BG1164" t="s">
        <v>98</v>
      </c>
      <c r="BH1164" t="s">
        <v>98</v>
      </c>
      <c r="BI1164" t="s">
        <v>98</v>
      </c>
      <c r="CL1164" t="s">
        <v>98</v>
      </c>
      <c r="CM1164" t="s">
        <v>98</v>
      </c>
      <c r="CP1164" s="1">
        <v>43595</v>
      </c>
    </row>
    <row r="1165" spans="1:94" x14ac:dyDescent="0.25">
      <c r="A1165" s="4" t="s">
        <v>3819</v>
      </c>
      <c r="B1165" t="str">
        <f xml:space="preserve"> "" &amp; 706411052804</f>
        <v>706411052804</v>
      </c>
      <c r="C1165" t="s">
        <v>3677</v>
      </c>
      <c r="D1165" t="s">
        <v>3820</v>
      </c>
      <c r="F1165" t="s">
        <v>551</v>
      </c>
      <c r="G1165">
        <v>1</v>
      </c>
      <c r="H1165">
        <v>1</v>
      </c>
      <c r="I1165" t="s">
        <v>97</v>
      </c>
      <c r="J1165" s="32">
        <v>99.95</v>
      </c>
      <c r="K1165" s="32">
        <v>299.85000000000002</v>
      </c>
      <c r="L1165">
        <v>0</v>
      </c>
      <c r="N1165">
        <v>0</v>
      </c>
      <c r="W1165">
        <v>6.56</v>
      </c>
      <c r="X1165">
        <v>1</v>
      </c>
      <c r="Y1165">
        <v>2.38</v>
      </c>
      <c r="Z1165">
        <v>34.5</v>
      </c>
      <c r="AA1165">
        <v>5.88</v>
      </c>
      <c r="AB1165">
        <v>0.27900000000000003</v>
      </c>
      <c r="AC1165">
        <v>7.46</v>
      </c>
      <c r="AK1165" t="s">
        <v>98</v>
      </c>
      <c r="AM1165" t="s">
        <v>98</v>
      </c>
      <c r="AN1165" t="s">
        <v>98</v>
      </c>
      <c r="AO1165" t="s">
        <v>98</v>
      </c>
      <c r="AP1165" t="s">
        <v>99</v>
      </c>
      <c r="AQ1165" t="s">
        <v>102</v>
      </c>
      <c r="AV1165" t="s">
        <v>98</v>
      </c>
      <c r="AX1165" t="s">
        <v>245</v>
      </c>
      <c r="BF1165" t="s">
        <v>3821</v>
      </c>
      <c r="BG1165" t="s">
        <v>98</v>
      </c>
      <c r="BH1165" t="s">
        <v>98</v>
      </c>
      <c r="BI1165" t="s">
        <v>98</v>
      </c>
      <c r="CB1165" t="s">
        <v>245</v>
      </c>
      <c r="CL1165" t="s">
        <v>98</v>
      </c>
      <c r="CM1165" t="s">
        <v>98</v>
      </c>
      <c r="CP1165" s="1">
        <v>43595</v>
      </c>
    </row>
    <row r="1166" spans="1:94" x14ac:dyDescent="0.25">
      <c r="A1166" s="4" t="s">
        <v>3822</v>
      </c>
      <c r="B1166" t="str">
        <f xml:space="preserve"> "" &amp; 706411052798</f>
        <v>706411052798</v>
      </c>
      <c r="C1166" t="s">
        <v>3677</v>
      </c>
      <c r="D1166" t="s">
        <v>3823</v>
      </c>
      <c r="F1166" t="s">
        <v>551</v>
      </c>
      <c r="G1166">
        <v>1</v>
      </c>
      <c r="H1166">
        <v>1</v>
      </c>
      <c r="I1166" t="s">
        <v>97</v>
      </c>
      <c r="J1166" s="32">
        <v>99.95</v>
      </c>
      <c r="K1166" s="32">
        <v>299.85000000000002</v>
      </c>
      <c r="L1166">
        <v>0</v>
      </c>
      <c r="N1166">
        <v>0</v>
      </c>
      <c r="W1166">
        <v>6.56</v>
      </c>
      <c r="X1166">
        <v>1</v>
      </c>
      <c r="Y1166">
        <v>2.38</v>
      </c>
      <c r="Z1166">
        <v>34.5</v>
      </c>
      <c r="AA1166">
        <v>5.88</v>
      </c>
      <c r="AB1166">
        <v>0.27900000000000003</v>
      </c>
      <c r="AC1166">
        <v>7.46</v>
      </c>
      <c r="AK1166" t="s">
        <v>98</v>
      </c>
      <c r="AM1166" t="s">
        <v>98</v>
      </c>
      <c r="AN1166" t="s">
        <v>98</v>
      </c>
      <c r="AO1166" t="s">
        <v>98</v>
      </c>
      <c r="AP1166" t="s">
        <v>99</v>
      </c>
      <c r="AQ1166" t="s">
        <v>102</v>
      </c>
      <c r="AV1166" t="s">
        <v>98</v>
      </c>
      <c r="AX1166" t="s">
        <v>441</v>
      </c>
      <c r="BF1166" t="s">
        <v>3824</v>
      </c>
      <c r="BG1166" t="s">
        <v>98</v>
      </c>
      <c r="BH1166" t="s">
        <v>98</v>
      </c>
      <c r="BI1166" t="s">
        <v>98</v>
      </c>
      <c r="CB1166" t="s">
        <v>441</v>
      </c>
      <c r="CL1166" t="s">
        <v>98</v>
      </c>
      <c r="CM1166" t="s">
        <v>98</v>
      </c>
      <c r="CP1166" s="1">
        <v>43595</v>
      </c>
    </row>
    <row r="1167" spans="1:94" x14ac:dyDescent="0.25">
      <c r="A1167" s="4" t="s">
        <v>3825</v>
      </c>
      <c r="B1167" t="str">
        <f xml:space="preserve"> "" &amp; 706411052866</f>
        <v>706411052866</v>
      </c>
      <c r="C1167" t="s">
        <v>3677</v>
      </c>
      <c r="D1167" t="s">
        <v>3826</v>
      </c>
      <c r="F1167" t="s">
        <v>551</v>
      </c>
      <c r="G1167">
        <v>1</v>
      </c>
      <c r="H1167">
        <v>1</v>
      </c>
      <c r="I1167" t="s">
        <v>97</v>
      </c>
      <c r="J1167" s="32">
        <v>169.95</v>
      </c>
      <c r="K1167" s="32">
        <v>509.85</v>
      </c>
      <c r="L1167">
        <v>0</v>
      </c>
      <c r="N1167">
        <v>0</v>
      </c>
      <c r="W1167">
        <v>9.02</v>
      </c>
      <c r="X1167">
        <v>1</v>
      </c>
      <c r="Y1167">
        <v>2.38</v>
      </c>
      <c r="Z1167">
        <v>46.75</v>
      </c>
      <c r="AA1167">
        <v>5.88</v>
      </c>
      <c r="AB1167">
        <v>0.379</v>
      </c>
      <c r="AC1167">
        <v>9.9</v>
      </c>
      <c r="AK1167" t="s">
        <v>98</v>
      </c>
      <c r="AM1167" t="s">
        <v>98</v>
      </c>
      <c r="AN1167" t="s">
        <v>98</v>
      </c>
      <c r="AO1167" t="s">
        <v>98</v>
      </c>
      <c r="AP1167" t="s">
        <v>99</v>
      </c>
      <c r="AQ1167" t="s">
        <v>102</v>
      </c>
      <c r="AV1167" t="s">
        <v>98</v>
      </c>
      <c r="AX1167" t="s">
        <v>245</v>
      </c>
      <c r="BF1167" t="s">
        <v>3827</v>
      </c>
      <c r="BG1167" t="s">
        <v>98</v>
      </c>
      <c r="BH1167" t="s">
        <v>98</v>
      </c>
      <c r="BI1167" t="s">
        <v>98</v>
      </c>
      <c r="CB1167" t="s">
        <v>245</v>
      </c>
      <c r="CL1167" t="s">
        <v>98</v>
      </c>
      <c r="CM1167" t="s">
        <v>98</v>
      </c>
      <c r="CP1167" s="1">
        <v>43595</v>
      </c>
    </row>
    <row r="1168" spans="1:94" x14ac:dyDescent="0.25">
      <c r="A1168" s="4" t="s">
        <v>3828</v>
      </c>
      <c r="B1168" t="str">
        <f xml:space="preserve"> "" &amp; 706411052859</f>
        <v>706411052859</v>
      </c>
      <c r="C1168" t="s">
        <v>3677</v>
      </c>
      <c r="D1168" t="s">
        <v>3829</v>
      </c>
      <c r="F1168" t="s">
        <v>551</v>
      </c>
      <c r="G1168">
        <v>1</v>
      </c>
      <c r="H1168">
        <v>1</v>
      </c>
      <c r="I1168" t="s">
        <v>97</v>
      </c>
      <c r="J1168" s="32">
        <v>169.95</v>
      </c>
      <c r="K1168" s="32">
        <v>509.85</v>
      </c>
      <c r="L1168">
        <v>0</v>
      </c>
      <c r="N1168">
        <v>0</v>
      </c>
      <c r="W1168">
        <v>9.02</v>
      </c>
      <c r="X1168">
        <v>1</v>
      </c>
      <c r="Y1168">
        <v>2.38</v>
      </c>
      <c r="Z1168">
        <v>46.75</v>
      </c>
      <c r="AA1168">
        <v>5.88</v>
      </c>
      <c r="AB1168">
        <v>0.379</v>
      </c>
      <c r="AC1168">
        <v>9.9</v>
      </c>
      <c r="AK1168" t="s">
        <v>98</v>
      </c>
      <c r="AM1168" t="s">
        <v>98</v>
      </c>
      <c r="AN1168" t="s">
        <v>98</v>
      </c>
      <c r="AO1168" t="s">
        <v>98</v>
      </c>
      <c r="AP1168" t="s">
        <v>99</v>
      </c>
      <c r="AQ1168" t="s">
        <v>102</v>
      </c>
      <c r="AV1168" t="s">
        <v>98</v>
      </c>
      <c r="AX1168" t="s">
        <v>441</v>
      </c>
      <c r="BF1168" t="s">
        <v>3830</v>
      </c>
      <c r="BG1168" t="s">
        <v>98</v>
      </c>
      <c r="BH1168" t="s">
        <v>98</v>
      </c>
      <c r="BI1168" t="s">
        <v>98</v>
      </c>
      <c r="CB1168" t="s">
        <v>441</v>
      </c>
      <c r="CL1168" t="s">
        <v>98</v>
      </c>
      <c r="CM1168" t="s">
        <v>98</v>
      </c>
      <c r="CP1168" s="1">
        <v>43595</v>
      </c>
    </row>
    <row r="1169" spans="1:94" x14ac:dyDescent="0.25">
      <c r="A1169" s="4" t="s">
        <v>3831</v>
      </c>
      <c r="B1169" t="str">
        <f xml:space="preserve"> "" &amp; 706411056581</f>
        <v>706411056581</v>
      </c>
      <c r="C1169" t="s">
        <v>3832</v>
      </c>
      <c r="D1169" t="s">
        <v>3833</v>
      </c>
      <c r="E1169" t="s">
        <v>2954</v>
      </c>
      <c r="F1169" t="s">
        <v>135</v>
      </c>
      <c r="G1169">
        <v>1</v>
      </c>
      <c r="H1169">
        <v>1</v>
      </c>
      <c r="I1169" t="s">
        <v>97</v>
      </c>
      <c r="J1169" s="32">
        <v>24.95</v>
      </c>
      <c r="K1169" s="32">
        <v>74.849999999999994</v>
      </c>
      <c r="L1169">
        <v>0</v>
      </c>
      <c r="N1169">
        <v>0</v>
      </c>
      <c r="S1169">
        <v>3.75</v>
      </c>
      <c r="T1169">
        <v>13.88</v>
      </c>
      <c r="U1169">
        <v>13.88</v>
      </c>
      <c r="W1169">
        <v>1.98</v>
      </c>
      <c r="X1169">
        <v>1</v>
      </c>
      <c r="AB1169">
        <v>0.53700000000000003</v>
      </c>
      <c r="AC1169">
        <v>2.65</v>
      </c>
      <c r="AK1169" t="s">
        <v>98</v>
      </c>
      <c r="AM1169" t="s">
        <v>98</v>
      </c>
      <c r="AN1169" t="s">
        <v>291</v>
      </c>
      <c r="AO1169" t="s">
        <v>98</v>
      </c>
      <c r="AP1169" t="s">
        <v>99</v>
      </c>
      <c r="AQ1169" t="s">
        <v>102</v>
      </c>
      <c r="AV1169" t="s">
        <v>98</v>
      </c>
      <c r="AX1169" t="s">
        <v>3834</v>
      </c>
      <c r="AZ1169" t="s">
        <v>535</v>
      </c>
      <c r="BF1169" t="s">
        <v>3835</v>
      </c>
      <c r="BG1169" t="s">
        <v>98</v>
      </c>
      <c r="BH1169" t="s">
        <v>98</v>
      </c>
      <c r="BI1169" t="s">
        <v>98</v>
      </c>
      <c r="BJ1169" t="s">
        <v>291</v>
      </c>
      <c r="BK1169" t="s">
        <v>292</v>
      </c>
      <c r="CA1169" t="s">
        <v>3836</v>
      </c>
      <c r="CB1169" t="s">
        <v>3834</v>
      </c>
      <c r="CL1169" t="s">
        <v>98</v>
      </c>
      <c r="CM1169" t="s">
        <v>98</v>
      </c>
      <c r="CN1169" t="s">
        <v>349</v>
      </c>
      <c r="CO1169" s="1">
        <v>43312</v>
      </c>
      <c r="CP1169" s="1">
        <v>43595</v>
      </c>
    </row>
    <row r="1170" spans="1:94" x14ac:dyDescent="0.25">
      <c r="A1170" s="4" t="s">
        <v>3837</v>
      </c>
      <c r="B1170" t="str">
        <f xml:space="preserve"> "" &amp; 706411056567</f>
        <v>706411056567</v>
      </c>
      <c r="C1170" t="s">
        <v>3832</v>
      </c>
      <c r="D1170" t="s">
        <v>3838</v>
      </c>
      <c r="E1170" t="s">
        <v>2954</v>
      </c>
      <c r="F1170" t="s">
        <v>135</v>
      </c>
      <c r="G1170">
        <v>1</v>
      </c>
      <c r="H1170">
        <v>1</v>
      </c>
      <c r="I1170" t="s">
        <v>97</v>
      </c>
      <c r="J1170" s="32">
        <v>24.95</v>
      </c>
      <c r="K1170" s="32">
        <v>74.849999999999994</v>
      </c>
      <c r="L1170">
        <v>0</v>
      </c>
      <c r="N1170">
        <v>0</v>
      </c>
      <c r="S1170">
        <v>3.75</v>
      </c>
      <c r="T1170">
        <v>13.88</v>
      </c>
      <c r="U1170">
        <v>13.88</v>
      </c>
      <c r="W1170">
        <v>1.98</v>
      </c>
      <c r="X1170">
        <v>1</v>
      </c>
      <c r="AB1170">
        <v>0.53700000000000003</v>
      </c>
      <c r="AC1170">
        <v>2.65</v>
      </c>
      <c r="AK1170" t="s">
        <v>98</v>
      </c>
      <c r="AM1170" t="s">
        <v>98</v>
      </c>
      <c r="AN1170" t="s">
        <v>291</v>
      </c>
      <c r="AO1170" t="s">
        <v>98</v>
      </c>
      <c r="AP1170" t="s">
        <v>99</v>
      </c>
      <c r="AQ1170" t="s">
        <v>102</v>
      </c>
      <c r="AV1170" t="s">
        <v>98</v>
      </c>
      <c r="AX1170" t="s">
        <v>265</v>
      </c>
      <c r="AZ1170" t="s">
        <v>535</v>
      </c>
      <c r="BF1170" t="s">
        <v>3839</v>
      </c>
      <c r="BG1170" t="s">
        <v>98</v>
      </c>
      <c r="BH1170" t="s">
        <v>98</v>
      </c>
      <c r="BI1170" t="s">
        <v>98</v>
      </c>
      <c r="BJ1170" t="s">
        <v>291</v>
      </c>
      <c r="BK1170" t="s">
        <v>292</v>
      </c>
      <c r="CA1170" t="s">
        <v>3836</v>
      </c>
      <c r="CB1170" t="s">
        <v>265</v>
      </c>
      <c r="CL1170" t="s">
        <v>98</v>
      </c>
      <c r="CM1170" t="s">
        <v>98</v>
      </c>
      <c r="CN1170" t="s">
        <v>349</v>
      </c>
      <c r="CO1170" s="1">
        <v>43312</v>
      </c>
      <c r="CP1170" s="1">
        <v>43595</v>
      </c>
    </row>
    <row r="1171" spans="1:94" x14ac:dyDescent="0.25">
      <c r="A1171" s="4" t="s">
        <v>3840</v>
      </c>
      <c r="B1171" t="str">
        <f xml:space="preserve"> "" &amp; 706411056598</f>
        <v>706411056598</v>
      </c>
      <c r="C1171" t="s">
        <v>3832</v>
      </c>
      <c r="D1171" t="s">
        <v>3841</v>
      </c>
      <c r="E1171" t="s">
        <v>2954</v>
      </c>
      <c r="F1171" t="s">
        <v>135</v>
      </c>
      <c r="G1171">
        <v>1</v>
      </c>
      <c r="H1171">
        <v>1</v>
      </c>
      <c r="I1171" t="s">
        <v>97</v>
      </c>
      <c r="J1171" s="32">
        <v>24.95</v>
      </c>
      <c r="K1171" s="32">
        <v>74.849999999999994</v>
      </c>
      <c r="L1171">
        <v>0</v>
      </c>
      <c r="N1171">
        <v>0</v>
      </c>
      <c r="S1171">
        <v>3.75</v>
      </c>
      <c r="T1171">
        <v>13.88</v>
      </c>
      <c r="U1171">
        <v>13.88</v>
      </c>
      <c r="W1171">
        <v>1.98</v>
      </c>
      <c r="X1171">
        <v>1</v>
      </c>
      <c r="AB1171">
        <v>0.53700000000000003</v>
      </c>
      <c r="AC1171">
        <v>2.65</v>
      </c>
      <c r="AK1171" t="s">
        <v>98</v>
      </c>
      <c r="AM1171" t="s">
        <v>98</v>
      </c>
      <c r="AN1171" t="s">
        <v>291</v>
      </c>
      <c r="AO1171" t="s">
        <v>98</v>
      </c>
      <c r="AP1171" t="s">
        <v>99</v>
      </c>
      <c r="AQ1171" t="s">
        <v>102</v>
      </c>
      <c r="AV1171" t="s">
        <v>98</v>
      </c>
      <c r="AX1171" t="s">
        <v>3842</v>
      </c>
      <c r="AZ1171" t="s">
        <v>535</v>
      </c>
      <c r="BF1171" t="s">
        <v>3843</v>
      </c>
      <c r="BG1171" t="s">
        <v>98</v>
      </c>
      <c r="BH1171" t="s">
        <v>98</v>
      </c>
      <c r="BI1171" t="s">
        <v>98</v>
      </c>
      <c r="BJ1171" t="s">
        <v>291</v>
      </c>
      <c r="BK1171" t="s">
        <v>292</v>
      </c>
      <c r="CA1171" t="s">
        <v>3836</v>
      </c>
      <c r="CB1171" t="s">
        <v>3842</v>
      </c>
      <c r="CL1171" t="s">
        <v>98</v>
      </c>
      <c r="CM1171" t="s">
        <v>98</v>
      </c>
      <c r="CN1171" t="s">
        <v>349</v>
      </c>
      <c r="CO1171" s="1">
        <v>43312</v>
      </c>
      <c r="CP1171" s="1">
        <v>43595</v>
      </c>
    </row>
    <row r="1172" spans="1:94" x14ac:dyDescent="0.25">
      <c r="A1172" s="4" t="s">
        <v>3844</v>
      </c>
      <c r="B1172" t="str">
        <f xml:space="preserve"> "" &amp; 706411056574</f>
        <v>706411056574</v>
      </c>
      <c r="C1172" t="s">
        <v>3832</v>
      </c>
      <c r="D1172" t="s">
        <v>3845</v>
      </c>
      <c r="E1172" t="s">
        <v>2954</v>
      </c>
      <c r="F1172" t="s">
        <v>135</v>
      </c>
      <c r="G1172">
        <v>1</v>
      </c>
      <c r="H1172">
        <v>1</v>
      </c>
      <c r="I1172" t="s">
        <v>97</v>
      </c>
      <c r="J1172" s="32">
        <v>24.95</v>
      </c>
      <c r="K1172" s="32">
        <v>74.849999999999994</v>
      </c>
      <c r="L1172">
        <v>0</v>
      </c>
      <c r="N1172">
        <v>0</v>
      </c>
      <c r="S1172">
        <v>3.75</v>
      </c>
      <c r="T1172">
        <v>13.88</v>
      </c>
      <c r="U1172">
        <v>13.88</v>
      </c>
      <c r="W1172">
        <v>1.98</v>
      </c>
      <c r="X1172">
        <v>1</v>
      </c>
      <c r="AB1172">
        <v>0.53700000000000003</v>
      </c>
      <c r="AC1172">
        <v>2.65</v>
      </c>
      <c r="AK1172" t="s">
        <v>98</v>
      </c>
      <c r="AM1172" t="s">
        <v>98</v>
      </c>
      <c r="AN1172" t="s">
        <v>291</v>
      </c>
      <c r="AO1172" t="s">
        <v>98</v>
      </c>
      <c r="AP1172" t="s">
        <v>99</v>
      </c>
      <c r="AQ1172" t="s">
        <v>102</v>
      </c>
      <c r="AV1172" t="s">
        <v>98</v>
      </c>
      <c r="AX1172" t="s">
        <v>302</v>
      </c>
      <c r="AZ1172" t="s">
        <v>535</v>
      </c>
      <c r="BF1172" t="s">
        <v>3846</v>
      </c>
      <c r="BG1172" t="s">
        <v>98</v>
      </c>
      <c r="BH1172" t="s">
        <v>98</v>
      </c>
      <c r="BI1172" t="s">
        <v>98</v>
      </c>
      <c r="BJ1172" t="s">
        <v>291</v>
      </c>
      <c r="BK1172" t="s">
        <v>292</v>
      </c>
      <c r="CA1172" t="s">
        <v>3836</v>
      </c>
      <c r="CB1172" t="s">
        <v>302</v>
      </c>
      <c r="CL1172" t="s">
        <v>98</v>
      </c>
      <c r="CM1172" t="s">
        <v>98</v>
      </c>
      <c r="CN1172" t="s">
        <v>349</v>
      </c>
      <c r="CO1172" s="1">
        <v>43312</v>
      </c>
      <c r="CP1172" s="1">
        <v>43595</v>
      </c>
    </row>
    <row r="1173" spans="1:94" x14ac:dyDescent="0.25">
      <c r="A1173" s="4" t="s">
        <v>3847</v>
      </c>
      <c r="B1173" t="str">
        <f xml:space="preserve"> "" &amp; 706411031625</f>
        <v>706411031625</v>
      </c>
      <c r="C1173" t="s">
        <v>3848</v>
      </c>
      <c r="D1173" t="s">
        <v>4478</v>
      </c>
      <c r="E1173" t="s">
        <v>3849</v>
      </c>
      <c r="F1173" t="s">
        <v>135</v>
      </c>
      <c r="G1173">
        <v>1</v>
      </c>
      <c r="H1173">
        <v>1</v>
      </c>
      <c r="I1173" t="s">
        <v>97</v>
      </c>
      <c r="J1173" s="32">
        <v>219.95</v>
      </c>
      <c r="K1173" s="32">
        <v>659.85</v>
      </c>
      <c r="L1173">
        <v>0</v>
      </c>
      <c r="N1173">
        <v>0</v>
      </c>
      <c r="Q1173" t="s">
        <v>291</v>
      </c>
      <c r="R1173" s="32">
        <v>389.95</v>
      </c>
      <c r="W1173">
        <v>3.06</v>
      </c>
      <c r="X1173">
        <v>1</v>
      </c>
      <c r="Y1173">
        <v>13.25</v>
      </c>
      <c r="Z1173">
        <v>33.5</v>
      </c>
      <c r="AA1173">
        <v>15.63</v>
      </c>
      <c r="AB1173">
        <v>4.0149999999999997</v>
      </c>
      <c r="AC1173">
        <v>4.7300000000000004</v>
      </c>
      <c r="AK1173" t="s">
        <v>98</v>
      </c>
      <c r="AM1173" t="s">
        <v>98</v>
      </c>
      <c r="AN1173" t="s">
        <v>98</v>
      </c>
      <c r="AO1173" t="s">
        <v>98</v>
      </c>
      <c r="AP1173" t="s">
        <v>99</v>
      </c>
      <c r="AQ1173" t="s">
        <v>102</v>
      </c>
      <c r="AV1173" t="s">
        <v>98</v>
      </c>
      <c r="BF1173" t="s">
        <v>3850</v>
      </c>
      <c r="BG1173" t="s">
        <v>98</v>
      </c>
      <c r="BH1173" t="s">
        <v>98</v>
      </c>
      <c r="BI1173" t="s">
        <v>98</v>
      </c>
      <c r="CL1173" t="s">
        <v>98</v>
      </c>
      <c r="CM1173" t="s">
        <v>98</v>
      </c>
      <c r="CP1173" s="1">
        <v>43595</v>
      </c>
    </row>
    <row r="1174" spans="1:94" x14ac:dyDescent="0.25">
      <c r="A1174" s="4" t="s">
        <v>3864</v>
      </c>
      <c r="B1174" t="str">
        <f xml:space="preserve"> "" &amp; 706411037252</f>
        <v>706411037252</v>
      </c>
      <c r="C1174" t="s">
        <v>3865</v>
      </c>
      <c r="D1174" t="s">
        <v>3866</v>
      </c>
      <c r="F1174" t="s">
        <v>135</v>
      </c>
      <c r="G1174">
        <v>1</v>
      </c>
      <c r="H1174">
        <v>1</v>
      </c>
      <c r="I1174" t="s">
        <v>97</v>
      </c>
      <c r="J1174" s="32">
        <v>12.95</v>
      </c>
      <c r="K1174" s="32">
        <v>38.85</v>
      </c>
      <c r="L1174">
        <v>0</v>
      </c>
      <c r="N1174">
        <v>0</v>
      </c>
      <c r="S1174">
        <v>6.75</v>
      </c>
      <c r="U1174">
        <v>8.5</v>
      </c>
      <c r="W1174">
        <v>1.32</v>
      </c>
      <c r="X1174">
        <v>1</v>
      </c>
      <c r="Y1174">
        <v>30.25</v>
      </c>
      <c r="Z1174">
        <v>19.75</v>
      </c>
      <c r="AA1174">
        <v>19.5</v>
      </c>
      <c r="AB1174">
        <v>6.742</v>
      </c>
      <c r="AC1174">
        <v>2.74</v>
      </c>
      <c r="AE1174">
        <v>1</v>
      </c>
      <c r="AF1174" t="s">
        <v>3867</v>
      </c>
      <c r="AG1174">
        <v>60</v>
      </c>
      <c r="AK1174" t="s">
        <v>98</v>
      </c>
      <c r="AM1174" t="s">
        <v>98</v>
      </c>
      <c r="AN1174" t="s">
        <v>98</v>
      </c>
      <c r="AO1174" t="s">
        <v>291</v>
      </c>
      <c r="AP1174" t="s">
        <v>99</v>
      </c>
      <c r="AQ1174" t="s">
        <v>102</v>
      </c>
      <c r="AV1174" t="s">
        <v>98</v>
      </c>
      <c r="AX1174" t="s">
        <v>302</v>
      </c>
      <c r="AZ1174" t="s">
        <v>109</v>
      </c>
      <c r="BF1174" t="s">
        <v>3868</v>
      </c>
      <c r="BG1174" t="s">
        <v>98</v>
      </c>
      <c r="BH1174" t="s">
        <v>98</v>
      </c>
      <c r="BI1174" t="s">
        <v>98</v>
      </c>
      <c r="BK1174" t="s">
        <v>138</v>
      </c>
      <c r="CA1174" t="s">
        <v>3869</v>
      </c>
      <c r="CB1174" t="s">
        <v>302</v>
      </c>
      <c r="CL1174" t="s">
        <v>98</v>
      </c>
      <c r="CM1174" t="s">
        <v>98</v>
      </c>
      <c r="CN1174" t="s">
        <v>3870</v>
      </c>
      <c r="CO1174" s="1">
        <v>40459</v>
      </c>
      <c r="CP1174" s="1">
        <v>43595</v>
      </c>
    </row>
    <row r="1175" spans="1:94" x14ac:dyDescent="0.25">
      <c r="A1175" s="4" t="s">
        <v>3851</v>
      </c>
      <c r="B1175" t="str">
        <f xml:space="preserve"> "" &amp; 706411037276</f>
        <v>706411037276</v>
      </c>
      <c r="C1175" t="s">
        <v>3852</v>
      </c>
      <c r="D1175" t="s">
        <v>3853</v>
      </c>
      <c r="F1175" t="s">
        <v>135</v>
      </c>
      <c r="G1175">
        <v>1</v>
      </c>
      <c r="H1175">
        <v>1</v>
      </c>
      <c r="I1175" t="s">
        <v>97</v>
      </c>
      <c r="J1175" s="32">
        <v>12.95</v>
      </c>
      <c r="K1175" s="32">
        <v>38.85</v>
      </c>
      <c r="L1175">
        <v>0</v>
      </c>
      <c r="N1175">
        <v>0</v>
      </c>
      <c r="S1175">
        <v>3</v>
      </c>
      <c r="U1175">
        <v>11.75</v>
      </c>
      <c r="W1175">
        <v>1.28</v>
      </c>
      <c r="X1175">
        <v>1</v>
      </c>
      <c r="Y1175">
        <v>16</v>
      </c>
      <c r="Z1175">
        <v>20.75</v>
      </c>
      <c r="AA1175">
        <v>20.75</v>
      </c>
      <c r="AB1175">
        <v>3.9870000000000001</v>
      </c>
      <c r="AC1175">
        <v>2.0299999999999998</v>
      </c>
      <c r="AE1175">
        <v>4</v>
      </c>
      <c r="AF1175" t="s">
        <v>2338</v>
      </c>
      <c r="AG1175">
        <v>40</v>
      </c>
      <c r="AK1175" t="s">
        <v>291</v>
      </c>
      <c r="AM1175" t="s">
        <v>98</v>
      </c>
      <c r="AN1175" t="s">
        <v>98</v>
      </c>
      <c r="AO1175" t="s">
        <v>291</v>
      </c>
      <c r="AP1175" t="s">
        <v>99</v>
      </c>
      <c r="AQ1175" t="s">
        <v>102</v>
      </c>
      <c r="AV1175" t="s">
        <v>98</v>
      </c>
      <c r="AX1175" t="s">
        <v>302</v>
      </c>
      <c r="AZ1175" t="s">
        <v>109</v>
      </c>
      <c r="BF1175" t="s">
        <v>3854</v>
      </c>
      <c r="BG1175" t="s">
        <v>98</v>
      </c>
      <c r="BH1175" t="s">
        <v>98</v>
      </c>
      <c r="BI1175" t="s">
        <v>98</v>
      </c>
      <c r="BK1175" t="s">
        <v>138</v>
      </c>
      <c r="CA1175" t="s">
        <v>3855</v>
      </c>
      <c r="CB1175" t="s">
        <v>302</v>
      </c>
      <c r="CL1175" t="s">
        <v>98</v>
      </c>
      <c r="CM1175" t="s">
        <v>98</v>
      </c>
      <c r="CN1175" t="s">
        <v>349</v>
      </c>
      <c r="CO1175" s="1">
        <v>40459</v>
      </c>
      <c r="CP1175" s="1">
        <v>43595</v>
      </c>
    </row>
    <row r="1176" spans="1:94" x14ac:dyDescent="0.25">
      <c r="A1176" s="4" t="s">
        <v>3856</v>
      </c>
      <c r="B1176" t="str">
        <f xml:space="preserve"> "" &amp; 706411037306</f>
        <v>706411037306</v>
      </c>
      <c r="C1176" t="s">
        <v>3852</v>
      </c>
      <c r="D1176" t="s">
        <v>3857</v>
      </c>
      <c r="F1176" t="s">
        <v>135</v>
      </c>
      <c r="G1176">
        <v>1</v>
      </c>
      <c r="H1176">
        <v>1</v>
      </c>
      <c r="I1176" t="s">
        <v>97</v>
      </c>
      <c r="J1176" s="32">
        <v>14.95</v>
      </c>
      <c r="K1176" s="32">
        <v>44.85</v>
      </c>
      <c r="L1176">
        <v>0</v>
      </c>
      <c r="N1176">
        <v>0</v>
      </c>
      <c r="S1176">
        <v>3</v>
      </c>
      <c r="U1176">
        <v>11.75</v>
      </c>
      <c r="W1176">
        <v>1.28</v>
      </c>
      <c r="X1176">
        <v>1</v>
      </c>
      <c r="AB1176">
        <v>0.33229999999999998</v>
      </c>
      <c r="AC1176">
        <v>2.27</v>
      </c>
      <c r="AE1176">
        <v>4</v>
      </c>
      <c r="AF1176" t="s">
        <v>3858</v>
      </c>
      <c r="AG1176">
        <v>40</v>
      </c>
      <c r="AK1176" t="s">
        <v>98</v>
      </c>
      <c r="AM1176" t="s">
        <v>98</v>
      </c>
      <c r="AN1176" t="s">
        <v>291</v>
      </c>
      <c r="AO1176" t="s">
        <v>98</v>
      </c>
      <c r="AP1176" t="s">
        <v>99</v>
      </c>
      <c r="AQ1176" t="s">
        <v>102</v>
      </c>
      <c r="AV1176" t="s">
        <v>98</v>
      </c>
      <c r="AX1176" t="s">
        <v>163</v>
      </c>
      <c r="AZ1176" t="s">
        <v>109</v>
      </c>
      <c r="BF1176" t="s">
        <v>3859</v>
      </c>
      <c r="BG1176" t="s">
        <v>98</v>
      </c>
      <c r="BH1176" t="s">
        <v>98</v>
      </c>
      <c r="BI1176" t="s">
        <v>98</v>
      </c>
      <c r="BK1176" t="s">
        <v>138</v>
      </c>
      <c r="CA1176" t="s">
        <v>3855</v>
      </c>
      <c r="CB1176" t="s">
        <v>163</v>
      </c>
      <c r="CL1176" t="s">
        <v>98</v>
      </c>
      <c r="CM1176" t="s">
        <v>98</v>
      </c>
      <c r="CN1176" t="s">
        <v>3860</v>
      </c>
      <c r="CO1176" s="1">
        <v>40459</v>
      </c>
      <c r="CP1176" s="1">
        <v>43595</v>
      </c>
    </row>
    <row r="1177" spans="1:94" x14ac:dyDescent="0.25">
      <c r="A1177" s="4" t="s">
        <v>3861</v>
      </c>
      <c r="B1177" t="str">
        <f xml:space="preserve"> "" &amp; 706411037320</f>
        <v>706411037320</v>
      </c>
      <c r="C1177" t="s">
        <v>3852</v>
      </c>
      <c r="D1177" t="s">
        <v>3862</v>
      </c>
      <c r="F1177" t="s">
        <v>135</v>
      </c>
      <c r="G1177">
        <v>1</v>
      </c>
      <c r="H1177">
        <v>1</v>
      </c>
      <c r="I1177" t="s">
        <v>97</v>
      </c>
      <c r="J1177" s="32">
        <v>14.95</v>
      </c>
      <c r="K1177" s="32">
        <v>44.85</v>
      </c>
      <c r="L1177">
        <v>0</v>
      </c>
      <c r="N1177">
        <v>0</v>
      </c>
      <c r="S1177">
        <v>3</v>
      </c>
      <c r="U1177">
        <v>11.75</v>
      </c>
      <c r="W1177">
        <v>1.28</v>
      </c>
      <c r="X1177">
        <v>1</v>
      </c>
      <c r="Y1177">
        <v>16</v>
      </c>
      <c r="Z1177">
        <v>20.75</v>
      </c>
      <c r="AA1177">
        <v>20.75</v>
      </c>
      <c r="AB1177">
        <v>3.9870000000000001</v>
      </c>
      <c r="AC1177">
        <v>2.0299999999999998</v>
      </c>
      <c r="AE1177">
        <v>4</v>
      </c>
      <c r="AF1177" t="s">
        <v>2846</v>
      </c>
      <c r="AG1177">
        <v>40</v>
      </c>
      <c r="AK1177" t="s">
        <v>98</v>
      </c>
      <c r="AM1177" t="s">
        <v>98</v>
      </c>
      <c r="AN1177" t="s">
        <v>98</v>
      </c>
      <c r="AO1177" t="s">
        <v>98</v>
      </c>
      <c r="AP1177" t="s">
        <v>99</v>
      </c>
      <c r="AQ1177" t="s">
        <v>102</v>
      </c>
      <c r="AV1177" t="s">
        <v>98</v>
      </c>
      <c r="AX1177" t="s">
        <v>245</v>
      </c>
      <c r="AZ1177" t="s">
        <v>109</v>
      </c>
      <c r="BF1177" t="s">
        <v>3863</v>
      </c>
      <c r="BG1177" t="s">
        <v>98</v>
      </c>
      <c r="BH1177" t="s">
        <v>98</v>
      </c>
      <c r="BI1177" t="s">
        <v>98</v>
      </c>
      <c r="BK1177" t="s">
        <v>138</v>
      </c>
      <c r="CA1177" t="s">
        <v>3855</v>
      </c>
      <c r="CB1177" t="s">
        <v>245</v>
      </c>
      <c r="CL1177" t="s">
        <v>98</v>
      </c>
      <c r="CM1177" t="s">
        <v>98</v>
      </c>
      <c r="CN1177" t="s">
        <v>349</v>
      </c>
      <c r="CO1177" s="1">
        <v>40459</v>
      </c>
      <c r="CP1177" s="1">
        <v>43595</v>
      </c>
    </row>
    <row r="1178" spans="1:94" x14ac:dyDescent="0.25">
      <c r="A1178" s="4" t="s">
        <v>3871</v>
      </c>
      <c r="B1178" t="str">
        <f xml:space="preserve"> "" &amp; 706411037368</f>
        <v>706411037368</v>
      </c>
      <c r="C1178" t="s">
        <v>3872</v>
      </c>
      <c r="D1178" t="s">
        <v>3873</v>
      </c>
      <c r="F1178" t="s">
        <v>135</v>
      </c>
      <c r="G1178">
        <v>1</v>
      </c>
      <c r="H1178">
        <v>1</v>
      </c>
      <c r="I1178" t="s">
        <v>97</v>
      </c>
      <c r="J1178" s="32">
        <v>10.95</v>
      </c>
      <c r="K1178" s="32">
        <v>32.85</v>
      </c>
      <c r="L1178">
        <v>0</v>
      </c>
      <c r="N1178">
        <v>0</v>
      </c>
      <c r="S1178">
        <v>3.12</v>
      </c>
      <c r="T1178">
        <v>6.75</v>
      </c>
      <c r="U1178">
        <v>6.12</v>
      </c>
      <c r="W1178">
        <v>0.88</v>
      </c>
      <c r="X1178">
        <v>1</v>
      </c>
      <c r="Y1178">
        <v>6.75</v>
      </c>
      <c r="Z1178">
        <v>6.75</v>
      </c>
      <c r="AA1178">
        <v>6.5</v>
      </c>
      <c r="AB1178">
        <v>0.17100000000000001</v>
      </c>
      <c r="AC1178">
        <v>1.21</v>
      </c>
      <c r="AE1178">
        <v>3</v>
      </c>
      <c r="AF1178" t="s">
        <v>2846</v>
      </c>
      <c r="AG1178">
        <v>60</v>
      </c>
      <c r="AK1178" t="s">
        <v>291</v>
      </c>
      <c r="AM1178" t="s">
        <v>98</v>
      </c>
      <c r="AN1178" t="s">
        <v>98</v>
      </c>
      <c r="AO1178" t="s">
        <v>291</v>
      </c>
      <c r="AP1178" t="s">
        <v>99</v>
      </c>
      <c r="AQ1178" t="s">
        <v>102</v>
      </c>
      <c r="AV1178" t="s">
        <v>98</v>
      </c>
      <c r="AX1178" t="s">
        <v>302</v>
      </c>
      <c r="AZ1178" t="s">
        <v>109</v>
      </c>
      <c r="BF1178" t="s">
        <v>3874</v>
      </c>
      <c r="BG1178" t="s">
        <v>98</v>
      </c>
      <c r="BH1178" t="s">
        <v>98</v>
      </c>
      <c r="BI1178" t="s">
        <v>98</v>
      </c>
      <c r="BK1178" t="s">
        <v>138</v>
      </c>
      <c r="CA1178" t="s">
        <v>3875</v>
      </c>
      <c r="CB1178" t="s">
        <v>302</v>
      </c>
      <c r="CL1178" t="s">
        <v>98</v>
      </c>
      <c r="CM1178" t="s">
        <v>98</v>
      </c>
      <c r="CN1178" t="s">
        <v>349</v>
      </c>
      <c r="CO1178" s="1">
        <v>39823</v>
      </c>
      <c r="CP1178" s="1">
        <v>43595</v>
      </c>
    </row>
    <row r="1179" spans="1:94" x14ac:dyDescent="0.25">
      <c r="A1179" s="4" t="s">
        <v>3876</v>
      </c>
      <c r="B1179" t="str">
        <f xml:space="preserve"> "" &amp; 706411037382</f>
        <v>706411037382</v>
      </c>
      <c r="C1179" t="s">
        <v>3872</v>
      </c>
      <c r="D1179" t="s">
        <v>3877</v>
      </c>
      <c r="F1179" t="s">
        <v>135</v>
      </c>
      <c r="G1179">
        <v>1</v>
      </c>
      <c r="H1179">
        <v>1</v>
      </c>
      <c r="I1179" t="s">
        <v>97</v>
      </c>
      <c r="J1179" s="32">
        <v>10.95</v>
      </c>
      <c r="K1179" s="32">
        <v>32.85</v>
      </c>
      <c r="L1179">
        <v>0</v>
      </c>
      <c r="N1179">
        <v>0</v>
      </c>
      <c r="S1179">
        <v>3.5</v>
      </c>
      <c r="T1179">
        <v>6.75</v>
      </c>
      <c r="U1179">
        <v>6.25</v>
      </c>
      <c r="W1179">
        <v>0.88</v>
      </c>
      <c r="X1179">
        <v>1</v>
      </c>
      <c r="Y1179">
        <v>6.75</v>
      </c>
      <c r="Z1179">
        <v>6.75</v>
      </c>
      <c r="AA1179">
        <v>6.5</v>
      </c>
      <c r="AB1179">
        <v>0.17100000000000001</v>
      </c>
      <c r="AC1179">
        <v>1.21</v>
      </c>
      <c r="AE1179">
        <v>3</v>
      </c>
      <c r="AF1179" t="s">
        <v>2350</v>
      </c>
      <c r="AG1179">
        <v>60</v>
      </c>
      <c r="AK1179" t="s">
        <v>98</v>
      </c>
      <c r="AM1179" t="s">
        <v>98</v>
      </c>
      <c r="AN1179" t="s">
        <v>98</v>
      </c>
      <c r="AO1179" t="s">
        <v>291</v>
      </c>
      <c r="AP1179" t="s">
        <v>99</v>
      </c>
      <c r="AQ1179" t="s">
        <v>102</v>
      </c>
      <c r="AV1179" t="s">
        <v>98</v>
      </c>
      <c r="AX1179" t="s">
        <v>163</v>
      </c>
      <c r="AZ1179" t="s">
        <v>109</v>
      </c>
      <c r="BF1179" t="s">
        <v>3878</v>
      </c>
      <c r="BG1179" t="s">
        <v>98</v>
      </c>
      <c r="BH1179" t="s">
        <v>98</v>
      </c>
      <c r="BI1179" t="s">
        <v>98</v>
      </c>
      <c r="BK1179" t="s">
        <v>138</v>
      </c>
      <c r="CA1179" t="s">
        <v>3875</v>
      </c>
      <c r="CB1179" t="s">
        <v>163</v>
      </c>
      <c r="CL1179" t="s">
        <v>98</v>
      </c>
      <c r="CM1179" t="s">
        <v>98</v>
      </c>
      <c r="CN1179" t="s">
        <v>349</v>
      </c>
      <c r="CP1179" s="1">
        <v>43595</v>
      </c>
    </row>
    <row r="1180" spans="1:94" x14ac:dyDescent="0.25">
      <c r="A1180" s="4" t="s">
        <v>3879</v>
      </c>
      <c r="B1180" t="str">
        <f xml:space="preserve"> "" &amp; 706411039768</f>
        <v>706411039768</v>
      </c>
      <c r="C1180" t="s">
        <v>3872</v>
      </c>
      <c r="D1180" t="s">
        <v>3880</v>
      </c>
      <c r="F1180" t="s">
        <v>135</v>
      </c>
      <c r="G1180">
        <v>1</v>
      </c>
      <c r="H1180">
        <v>1</v>
      </c>
      <c r="I1180" t="s">
        <v>97</v>
      </c>
      <c r="J1180" s="32">
        <v>10.95</v>
      </c>
      <c r="K1180" s="32">
        <v>32.85</v>
      </c>
      <c r="L1180">
        <v>0</v>
      </c>
      <c r="N1180">
        <v>0</v>
      </c>
      <c r="S1180">
        <v>3.5</v>
      </c>
      <c r="T1180">
        <v>6.75</v>
      </c>
      <c r="U1180">
        <v>6.25</v>
      </c>
      <c r="W1180">
        <v>0.88</v>
      </c>
      <c r="X1180">
        <v>1</v>
      </c>
      <c r="Y1180">
        <v>6.75</v>
      </c>
      <c r="Z1180">
        <v>6.75</v>
      </c>
      <c r="AA1180">
        <v>6.5</v>
      </c>
      <c r="AB1180">
        <v>0.17100000000000001</v>
      </c>
      <c r="AC1180">
        <v>1.21</v>
      </c>
      <c r="AE1180">
        <v>3</v>
      </c>
      <c r="AF1180" t="s">
        <v>3881</v>
      </c>
      <c r="AG1180">
        <v>60</v>
      </c>
      <c r="AK1180" t="s">
        <v>98</v>
      </c>
      <c r="AM1180" t="s">
        <v>98</v>
      </c>
      <c r="AN1180" t="s">
        <v>98</v>
      </c>
      <c r="AO1180" t="s">
        <v>291</v>
      </c>
      <c r="AP1180" t="s">
        <v>99</v>
      </c>
      <c r="AQ1180" t="s">
        <v>102</v>
      </c>
      <c r="AV1180" t="s">
        <v>98</v>
      </c>
      <c r="AX1180" t="s">
        <v>227</v>
      </c>
      <c r="AZ1180" t="s">
        <v>109</v>
      </c>
      <c r="BF1180" t="s">
        <v>3882</v>
      </c>
      <c r="BG1180" t="s">
        <v>98</v>
      </c>
      <c r="BH1180" t="s">
        <v>98</v>
      </c>
      <c r="BI1180" t="s">
        <v>98</v>
      </c>
      <c r="BK1180" t="s">
        <v>138</v>
      </c>
      <c r="CA1180" t="s">
        <v>3875</v>
      </c>
      <c r="CB1180" t="s">
        <v>227</v>
      </c>
      <c r="CL1180" t="s">
        <v>98</v>
      </c>
      <c r="CM1180" t="s">
        <v>98</v>
      </c>
      <c r="CN1180" t="s">
        <v>349</v>
      </c>
      <c r="CO1180" s="1">
        <v>40459</v>
      </c>
      <c r="CP1180" s="1">
        <v>43595</v>
      </c>
    </row>
    <row r="1181" spans="1:94" x14ac:dyDescent="0.25">
      <c r="A1181" s="4" t="s">
        <v>3883</v>
      </c>
      <c r="B1181" t="str">
        <f xml:space="preserve"> "" &amp; 706411037399</f>
        <v>706411037399</v>
      </c>
      <c r="C1181" t="s">
        <v>3872</v>
      </c>
      <c r="D1181" t="s">
        <v>3884</v>
      </c>
      <c r="F1181" t="s">
        <v>135</v>
      </c>
      <c r="G1181">
        <v>1</v>
      </c>
      <c r="H1181">
        <v>1</v>
      </c>
      <c r="I1181" t="s">
        <v>97</v>
      </c>
      <c r="J1181" s="32">
        <v>10.95</v>
      </c>
      <c r="K1181" s="32">
        <v>32.85</v>
      </c>
      <c r="L1181">
        <v>0</v>
      </c>
      <c r="N1181">
        <v>0</v>
      </c>
      <c r="S1181">
        <v>3.5</v>
      </c>
      <c r="T1181">
        <v>6.75</v>
      </c>
      <c r="U1181">
        <v>6.25</v>
      </c>
      <c r="W1181">
        <v>0.88</v>
      </c>
      <c r="X1181">
        <v>1</v>
      </c>
      <c r="Y1181">
        <v>6.75</v>
      </c>
      <c r="Z1181">
        <v>6.75</v>
      </c>
      <c r="AA1181">
        <v>6.5</v>
      </c>
      <c r="AB1181">
        <v>0.17100000000000001</v>
      </c>
      <c r="AC1181">
        <v>1.21</v>
      </c>
      <c r="AE1181">
        <v>3</v>
      </c>
      <c r="AF1181" t="s">
        <v>3885</v>
      </c>
      <c r="AG1181">
        <v>60</v>
      </c>
      <c r="AK1181" t="s">
        <v>98</v>
      </c>
      <c r="AM1181" t="s">
        <v>98</v>
      </c>
      <c r="AN1181" t="s">
        <v>98</v>
      </c>
      <c r="AO1181" t="s">
        <v>291</v>
      </c>
      <c r="AP1181" t="s">
        <v>99</v>
      </c>
      <c r="AQ1181" t="s">
        <v>102</v>
      </c>
      <c r="AV1181" t="s">
        <v>98</v>
      </c>
      <c r="AX1181" t="s">
        <v>245</v>
      </c>
      <c r="AZ1181" t="s">
        <v>109</v>
      </c>
      <c r="BF1181" t="s">
        <v>3886</v>
      </c>
      <c r="BG1181" t="s">
        <v>98</v>
      </c>
      <c r="BH1181" t="s">
        <v>98</v>
      </c>
      <c r="BI1181" t="s">
        <v>98</v>
      </c>
      <c r="BK1181" t="s">
        <v>138</v>
      </c>
      <c r="CA1181" t="s">
        <v>3875</v>
      </c>
      <c r="CB1181" t="s">
        <v>245</v>
      </c>
      <c r="CL1181" t="s">
        <v>98</v>
      </c>
      <c r="CM1181" t="s">
        <v>98</v>
      </c>
      <c r="CN1181" t="s">
        <v>349</v>
      </c>
      <c r="CO1181" s="1">
        <v>40459</v>
      </c>
      <c r="CP1181" s="1">
        <v>43595</v>
      </c>
    </row>
    <row r="1182" spans="1:94" x14ac:dyDescent="0.25">
      <c r="A1182" s="4" t="s">
        <v>3887</v>
      </c>
      <c r="B1182" t="str">
        <f xml:space="preserve"> "" &amp; 706411040351</f>
        <v>706411040351</v>
      </c>
      <c r="C1182" t="s">
        <v>3852</v>
      </c>
      <c r="D1182" t="s">
        <v>3853</v>
      </c>
      <c r="F1182" t="s">
        <v>135</v>
      </c>
      <c r="G1182">
        <v>1</v>
      </c>
      <c r="H1182">
        <v>1</v>
      </c>
      <c r="I1182" t="s">
        <v>97</v>
      </c>
      <c r="J1182" s="32">
        <v>37.950000000000003</v>
      </c>
      <c r="K1182" s="32">
        <v>113.85</v>
      </c>
      <c r="L1182">
        <v>0</v>
      </c>
      <c r="N1182">
        <v>0</v>
      </c>
      <c r="S1182">
        <v>2.75</v>
      </c>
      <c r="T1182">
        <v>11.88</v>
      </c>
      <c r="U1182">
        <v>11.75</v>
      </c>
      <c r="W1182">
        <v>2.36</v>
      </c>
      <c r="X1182">
        <v>1</v>
      </c>
      <c r="Y1182">
        <v>7.25</v>
      </c>
      <c r="Z1182">
        <v>11.88</v>
      </c>
      <c r="AA1182">
        <v>11.88</v>
      </c>
      <c r="AB1182">
        <v>0.59199999999999997</v>
      </c>
      <c r="AC1182">
        <v>3.26</v>
      </c>
      <c r="AE1182">
        <v>4</v>
      </c>
      <c r="AF1182" t="s">
        <v>3888</v>
      </c>
      <c r="AG1182">
        <v>13</v>
      </c>
      <c r="AK1182" t="s">
        <v>98</v>
      </c>
      <c r="AM1182" t="s">
        <v>98</v>
      </c>
      <c r="AN1182" t="s">
        <v>98</v>
      </c>
      <c r="AO1182" t="s">
        <v>291</v>
      </c>
      <c r="AP1182" t="s">
        <v>99</v>
      </c>
      <c r="AQ1182" t="s">
        <v>102</v>
      </c>
      <c r="AV1182" t="s">
        <v>98</v>
      </c>
      <c r="AX1182" t="s">
        <v>302</v>
      </c>
      <c r="AZ1182" t="s">
        <v>109</v>
      </c>
      <c r="BF1182" t="s">
        <v>3889</v>
      </c>
      <c r="BG1182" t="s">
        <v>98</v>
      </c>
      <c r="BH1182" t="s">
        <v>98</v>
      </c>
      <c r="BI1182" t="s">
        <v>98</v>
      </c>
      <c r="BK1182" t="s">
        <v>138</v>
      </c>
      <c r="CA1182" t="s">
        <v>3890</v>
      </c>
      <c r="CB1182" t="s">
        <v>302</v>
      </c>
      <c r="CL1182" t="s">
        <v>98</v>
      </c>
      <c r="CM1182" t="s">
        <v>98</v>
      </c>
      <c r="CN1182" t="s">
        <v>349</v>
      </c>
      <c r="CO1182" s="1">
        <v>37197</v>
      </c>
      <c r="CP1182" s="1">
        <v>43595</v>
      </c>
    </row>
    <row r="1183" spans="1:94" x14ac:dyDescent="0.25">
      <c r="A1183" s="4" t="s">
        <v>3891</v>
      </c>
      <c r="B1183" t="str">
        <f xml:space="preserve"> "" &amp; 706411040368</f>
        <v>706411040368</v>
      </c>
      <c r="C1183" t="s">
        <v>3852</v>
      </c>
      <c r="D1183" t="s">
        <v>4506</v>
      </c>
      <c r="F1183" t="s">
        <v>135</v>
      </c>
      <c r="G1183">
        <v>1</v>
      </c>
      <c r="H1183">
        <v>1</v>
      </c>
      <c r="I1183" t="s">
        <v>97</v>
      </c>
      <c r="J1183" s="32">
        <v>37.950000000000003</v>
      </c>
      <c r="K1183" s="32">
        <v>113.85</v>
      </c>
      <c r="L1183">
        <v>0</v>
      </c>
      <c r="N1183">
        <v>0</v>
      </c>
      <c r="S1183">
        <v>2.75</v>
      </c>
      <c r="T1183">
        <v>11.88</v>
      </c>
      <c r="U1183">
        <v>11.75</v>
      </c>
      <c r="W1183">
        <v>2.36</v>
      </c>
      <c r="X1183">
        <v>1</v>
      </c>
      <c r="Y1183">
        <v>7.25</v>
      </c>
      <c r="Z1183">
        <v>11.88</v>
      </c>
      <c r="AA1183">
        <v>11.88</v>
      </c>
      <c r="AB1183">
        <v>0.59199999999999997</v>
      </c>
      <c r="AC1183">
        <v>3.26</v>
      </c>
      <c r="AE1183">
        <v>4</v>
      </c>
      <c r="AF1183" t="s">
        <v>3888</v>
      </c>
      <c r="AG1183">
        <v>13</v>
      </c>
      <c r="AK1183" t="s">
        <v>98</v>
      </c>
      <c r="AM1183" t="s">
        <v>98</v>
      </c>
      <c r="AN1183" t="s">
        <v>98</v>
      </c>
      <c r="AO1183" t="s">
        <v>291</v>
      </c>
      <c r="AP1183" t="s">
        <v>99</v>
      </c>
      <c r="AQ1183" t="s">
        <v>102</v>
      </c>
      <c r="AV1183" t="s">
        <v>98</v>
      </c>
      <c r="AX1183" t="s">
        <v>136</v>
      </c>
      <c r="AZ1183" t="s">
        <v>109</v>
      </c>
      <c r="BF1183" t="s">
        <v>3892</v>
      </c>
      <c r="BG1183" t="s">
        <v>98</v>
      </c>
      <c r="BH1183" t="s">
        <v>98</v>
      </c>
      <c r="BI1183" t="s">
        <v>98</v>
      </c>
      <c r="BK1183" t="s">
        <v>138</v>
      </c>
      <c r="CA1183" t="s">
        <v>3890</v>
      </c>
      <c r="CB1183" t="s">
        <v>136</v>
      </c>
      <c r="CL1183" t="s">
        <v>98</v>
      </c>
      <c r="CM1183" t="s">
        <v>98</v>
      </c>
      <c r="CN1183" t="s">
        <v>349</v>
      </c>
      <c r="CO1183" s="1">
        <v>40484</v>
      </c>
      <c r="CP1183" s="1">
        <v>43595</v>
      </c>
    </row>
    <row r="1184" spans="1:94" x14ac:dyDescent="0.25">
      <c r="A1184" s="4" t="s">
        <v>3893</v>
      </c>
      <c r="B1184" t="str">
        <f xml:space="preserve"> "" &amp; 706411040634</f>
        <v>706411040634</v>
      </c>
      <c r="C1184" t="s">
        <v>3852</v>
      </c>
      <c r="D1184" t="s">
        <v>3894</v>
      </c>
      <c r="F1184" t="s">
        <v>135</v>
      </c>
      <c r="G1184">
        <v>1</v>
      </c>
      <c r="H1184">
        <v>1</v>
      </c>
      <c r="I1184" t="s">
        <v>97</v>
      </c>
      <c r="J1184" s="32">
        <v>37.950000000000003</v>
      </c>
      <c r="K1184" s="32">
        <v>113.85</v>
      </c>
      <c r="L1184">
        <v>0</v>
      </c>
      <c r="N1184">
        <v>0</v>
      </c>
      <c r="S1184">
        <v>2.75</v>
      </c>
      <c r="T1184">
        <v>11.88</v>
      </c>
      <c r="U1184">
        <v>11.75</v>
      </c>
      <c r="W1184">
        <v>2.36</v>
      </c>
      <c r="X1184">
        <v>1</v>
      </c>
      <c r="Y1184">
        <v>7.25</v>
      </c>
      <c r="Z1184">
        <v>11.88</v>
      </c>
      <c r="AA1184">
        <v>11.88</v>
      </c>
      <c r="AB1184">
        <v>0.59199999999999997</v>
      </c>
      <c r="AC1184">
        <v>3.26</v>
      </c>
      <c r="AE1184">
        <v>4</v>
      </c>
      <c r="AF1184" t="s">
        <v>3888</v>
      </c>
      <c r="AG1184">
        <v>13</v>
      </c>
      <c r="AK1184" t="s">
        <v>98</v>
      </c>
      <c r="AM1184" t="s">
        <v>98</v>
      </c>
      <c r="AN1184" t="s">
        <v>98</v>
      </c>
      <c r="AO1184" t="s">
        <v>291</v>
      </c>
      <c r="AP1184" t="s">
        <v>99</v>
      </c>
      <c r="AQ1184" t="s">
        <v>102</v>
      </c>
      <c r="AV1184" t="s">
        <v>98</v>
      </c>
      <c r="AX1184" t="s">
        <v>150</v>
      </c>
      <c r="AZ1184" t="s">
        <v>109</v>
      </c>
      <c r="BF1184" t="s">
        <v>3895</v>
      </c>
      <c r="BG1184" t="s">
        <v>98</v>
      </c>
      <c r="BH1184" t="s">
        <v>98</v>
      </c>
      <c r="BI1184" t="s">
        <v>98</v>
      </c>
      <c r="BK1184" t="s">
        <v>138</v>
      </c>
      <c r="CA1184" t="s">
        <v>3890</v>
      </c>
      <c r="CB1184" t="s">
        <v>150</v>
      </c>
      <c r="CL1184" t="s">
        <v>98</v>
      </c>
      <c r="CM1184" t="s">
        <v>98</v>
      </c>
      <c r="CN1184" t="s">
        <v>349</v>
      </c>
      <c r="CO1184" s="1">
        <v>40484</v>
      </c>
      <c r="CP1184" s="1">
        <v>43595</v>
      </c>
    </row>
    <row r="1185" spans="1:94" x14ac:dyDescent="0.25">
      <c r="A1185" s="4" t="s">
        <v>3896</v>
      </c>
      <c r="B1185" t="str">
        <f xml:space="preserve"> "" &amp; 706411040375</f>
        <v>706411040375</v>
      </c>
      <c r="C1185" t="s">
        <v>3852</v>
      </c>
      <c r="D1185" t="s">
        <v>3857</v>
      </c>
      <c r="F1185" t="s">
        <v>135</v>
      </c>
      <c r="G1185">
        <v>1</v>
      </c>
      <c r="H1185">
        <v>1</v>
      </c>
      <c r="I1185" t="s">
        <v>97</v>
      </c>
      <c r="J1185" s="32">
        <v>37.950000000000003</v>
      </c>
      <c r="K1185" s="32">
        <v>113.85</v>
      </c>
      <c r="L1185">
        <v>0</v>
      </c>
      <c r="N1185">
        <v>0</v>
      </c>
      <c r="S1185">
        <v>3.37</v>
      </c>
      <c r="T1185">
        <v>11.88</v>
      </c>
      <c r="U1185">
        <v>11.87</v>
      </c>
      <c r="W1185">
        <v>2.36</v>
      </c>
      <c r="X1185">
        <v>1</v>
      </c>
      <c r="Y1185">
        <v>7.25</v>
      </c>
      <c r="Z1185">
        <v>11.88</v>
      </c>
      <c r="AA1185">
        <v>11.88</v>
      </c>
      <c r="AB1185">
        <v>0.59199999999999997</v>
      </c>
      <c r="AC1185">
        <v>3.26</v>
      </c>
      <c r="AE1185">
        <v>4</v>
      </c>
      <c r="AF1185" t="s">
        <v>3888</v>
      </c>
      <c r="AG1185">
        <v>13</v>
      </c>
      <c r="AK1185" t="s">
        <v>291</v>
      </c>
      <c r="AM1185" t="s">
        <v>98</v>
      </c>
      <c r="AN1185" t="s">
        <v>98</v>
      </c>
      <c r="AO1185" t="s">
        <v>291</v>
      </c>
      <c r="AP1185" t="s">
        <v>99</v>
      </c>
      <c r="AQ1185" t="s">
        <v>102</v>
      </c>
      <c r="AV1185" t="s">
        <v>98</v>
      </c>
      <c r="AX1185" t="s">
        <v>163</v>
      </c>
      <c r="AZ1185" t="s">
        <v>109</v>
      </c>
      <c r="BF1185" t="s">
        <v>3897</v>
      </c>
      <c r="BG1185" t="s">
        <v>98</v>
      </c>
      <c r="BH1185" t="s">
        <v>98</v>
      </c>
      <c r="BI1185" t="s">
        <v>98</v>
      </c>
      <c r="BK1185" t="s">
        <v>138</v>
      </c>
      <c r="CA1185" t="s">
        <v>3890</v>
      </c>
      <c r="CB1185" t="s">
        <v>163</v>
      </c>
      <c r="CL1185" t="s">
        <v>98</v>
      </c>
      <c r="CM1185" t="s">
        <v>98</v>
      </c>
      <c r="CN1185" t="s">
        <v>349</v>
      </c>
      <c r="CO1185" s="1">
        <v>40484</v>
      </c>
      <c r="CP1185" s="1">
        <v>43595</v>
      </c>
    </row>
    <row r="1186" spans="1:94" x14ac:dyDescent="0.25">
      <c r="A1186" s="4" t="s">
        <v>3898</v>
      </c>
      <c r="B1186" t="str">
        <f xml:space="preserve"> "" &amp; 706411040399</f>
        <v>706411040399</v>
      </c>
      <c r="C1186" t="s">
        <v>3852</v>
      </c>
      <c r="D1186" t="s">
        <v>3899</v>
      </c>
      <c r="F1186" t="s">
        <v>135</v>
      </c>
      <c r="G1186">
        <v>1</v>
      </c>
      <c r="H1186">
        <v>1</v>
      </c>
      <c r="I1186" t="s">
        <v>97</v>
      </c>
      <c r="J1186" s="32">
        <v>37.950000000000003</v>
      </c>
      <c r="K1186" s="32">
        <v>113.85</v>
      </c>
      <c r="L1186">
        <v>0</v>
      </c>
      <c r="N1186">
        <v>0</v>
      </c>
      <c r="S1186">
        <v>2.75</v>
      </c>
      <c r="T1186">
        <v>11.88</v>
      </c>
      <c r="U1186">
        <v>11.75</v>
      </c>
      <c r="W1186">
        <v>2.36</v>
      </c>
      <c r="X1186">
        <v>1</v>
      </c>
      <c r="Y1186">
        <v>7.25</v>
      </c>
      <c r="Z1186">
        <v>11.88</v>
      </c>
      <c r="AA1186">
        <v>11.88</v>
      </c>
      <c r="AB1186">
        <v>0.59199999999999997</v>
      </c>
      <c r="AC1186">
        <v>3.26</v>
      </c>
      <c r="AF1186" t="s">
        <v>3900</v>
      </c>
      <c r="AK1186" t="s">
        <v>98</v>
      </c>
      <c r="AM1186" t="s">
        <v>98</v>
      </c>
      <c r="AN1186" t="s">
        <v>98</v>
      </c>
      <c r="AO1186" t="s">
        <v>291</v>
      </c>
      <c r="AP1186" t="s">
        <v>99</v>
      </c>
      <c r="AQ1186" t="s">
        <v>102</v>
      </c>
      <c r="AV1186" t="s">
        <v>98</v>
      </c>
      <c r="AX1186" t="s">
        <v>190</v>
      </c>
      <c r="AZ1186" t="s">
        <v>109</v>
      </c>
      <c r="BF1186" t="s">
        <v>3901</v>
      </c>
      <c r="BG1186" t="s">
        <v>98</v>
      </c>
      <c r="BH1186" t="s">
        <v>98</v>
      </c>
      <c r="BI1186" t="s">
        <v>98</v>
      </c>
      <c r="BK1186" t="s">
        <v>138</v>
      </c>
      <c r="CA1186" t="s">
        <v>3890</v>
      </c>
      <c r="CB1186" t="s">
        <v>190</v>
      </c>
      <c r="CL1186" t="s">
        <v>98</v>
      </c>
      <c r="CM1186" t="s">
        <v>98</v>
      </c>
      <c r="CN1186" t="s">
        <v>349</v>
      </c>
      <c r="CO1186" s="1">
        <v>40484</v>
      </c>
      <c r="CP1186" s="1">
        <v>43595</v>
      </c>
    </row>
    <row r="1187" spans="1:94" x14ac:dyDescent="0.25">
      <c r="A1187" s="4" t="s">
        <v>3902</v>
      </c>
      <c r="B1187" t="str">
        <f xml:space="preserve"> "" &amp; 706411042904</f>
        <v>706411042904</v>
      </c>
      <c r="C1187" t="s">
        <v>3852</v>
      </c>
      <c r="D1187" t="s">
        <v>3903</v>
      </c>
      <c r="F1187" t="s">
        <v>135</v>
      </c>
      <c r="G1187">
        <v>1</v>
      </c>
      <c r="H1187">
        <v>1</v>
      </c>
      <c r="I1187" t="s">
        <v>97</v>
      </c>
      <c r="J1187" s="32">
        <v>37.950000000000003</v>
      </c>
      <c r="K1187" s="32">
        <v>113.85</v>
      </c>
      <c r="L1187">
        <v>0</v>
      </c>
      <c r="N1187">
        <v>0</v>
      </c>
      <c r="S1187">
        <v>2.75</v>
      </c>
      <c r="T1187">
        <v>11.88</v>
      </c>
      <c r="U1187">
        <v>11.75</v>
      </c>
      <c r="W1187">
        <v>2.36</v>
      </c>
      <c r="X1187">
        <v>1</v>
      </c>
      <c r="Y1187">
        <v>7.25</v>
      </c>
      <c r="Z1187">
        <v>11.88</v>
      </c>
      <c r="AA1187">
        <v>11.88</v>
      </c>
      <c r="AB1187">
        <v>0.59199999999999997</v>
      </c>
      <c r="AC1187">
        <v>3.26</v>
      </c>
      <c r="AE1187">
        <v>4</v>
      </c>
      <c r="AF1187" t="s">
        <v>3888</v>
      </c>
      <c r="AG1187">
        <v>13</v>
      </c>
      <c r="AK1187" t="s">
        <v>98</v>
      </c>
      <c r="AM1187" t="s">
        <v>98</v>
      </c>
      <c r="AN1187" t="s">
        <v>98</v>
      </c>
      <c r="AO1187" t="s">
        <v>291</v>
      </c>
      <c r="AP1187" t="s">
        <v>99</v>
      </c>
      <c r="AQ1187" t="s">
        <v>102</v>
      </c>
      <c r="AV1187" t="s">
        <v>98</v>
      </c>
      <c r="AX1187" t="s">
        <v>219</v>
      </c>
      <c r="AZ1187" t="s">
        <v>109</v>
      </c>
      <c r="BF1187" t="s">
        <v>3904</v>
      </c>
      <c r="BG1187" t="s">
        <v>98</v>
      </c>
      <c r="BH1187" t="s">
        <v>98</v>
      </c>
      <c r="BI1187" t="s">
        <v>98</v>
      </c>
      <c r="BK1187" t="s">
        <v>138</v>
      </c>
      <c r="CA1187" t="s">
        <v>3890</v>
      </c>
      <c r="CB1187" t="s">
        <v>219</v>
      </c>
      <c r="CL1187" t="s">
        <v>98</v>
      </c>
      <c r="CM1187" t="s">
        <v>98</v>
      </c>
      <c r="CN1187" t="s">
        <v>349</v>
      </c>
      <c r="CP1187" s="1">
        <v>43595</v>
      </c>
    </row>
    <row r="1188" spans="1:94" x14ac:dyDescent="0.25">
      <c r="A1188" s="4" t="s">
        <v>3905</v>
      </c>
      <c r="B1188" t="str">
        <f xml:space="preserve"> "" &amp; 706411040382</f>
        <v>706411040382</v>
      </c>
      <c r="C1188" t="s">
        <v>3852</v>
      </c>
      <c r="D1188" t="s">
        <v>3862</v>
      </c>
      <c r="F1188" t="s">
        <v>135</v>
      </c>
      <c r="G1188">
        <v>1</v>
      </c>
      <c r="H1188">
        <v>1</v>
      </c>
      <c r="I1188" t="s">
        <v>97</v>
      </c>
      <c r="J1188" s="32">
        <v>37.950000000000003</v>
      </c>
      <c r="K1188" s="32">
        <v>113.85</v>
      </c>
      <c r="L1188">
        <v>0</v>
      </c>
      <c r="N1188">
        <v>0</v>
      </c>
      <c r="S1188">
        <v>2.75</v>
      </c>
      <c r="T1188">
        <v>11.88</v>
      </c>
      <c r="U1188">
        <v>11.75</v>
      </c>
      <c r="W1188">
        <v>2.36</v>
      </c>
      <c r="X1188">
        <v>1</v>
      </c>
      <c r="Y1188">
        <v>7.25</v>
      </c>
      <c r="Z1188">
        <v>11.88</v>
      </c>
      <c r="AA1188">
        <v>11.88</v>
      </c>
      <c r="AB1188">
        <v>0.59199999999999997</v>
      </c>
      <c r="AC1188">
        <v>3.26</v>
      </c>
      <c r="AE1188">
        <v>4</v>
      </c>
      <c r="AF1188" t="s">
        <v>3888</v>
      </c>
      <c r="AG1188">
        <v>13</v>
      </c>
      <c r="AK1188" t="s">
        <v>98</v>
      </c>
      <c r="AM1188" t="s">
        <v>98</v>
      </c>
      <c r="AN1188" t="s">
        <v>98</v>
      </c>
      <c r="AO1188" t="s">
        <v>291</v>
      </c>
      <c r="AP1188" t="s">
        <v>99</v>
      </c>
      <c r="AQ1188" t="s">
        <v>102</v>
      </c>
      <c r="AV1188" t="s">
        <v>98</v>
      </c>
      <c r="AX1188" t="s">
        <v>245</v>
      </c>
      <c r="AZ1188" t="s">
        <v>109</v>
      </c>
      <c r="BF1188" t="s">
        <v>3906</v>
      </c>
      <c r="BG1188" t="s">
        <v>98</v>
      </c>
      <c r="BH1188" t="s">
        <v>98</v>
      </c>
      <c r="BI1188" t="s">
        <v>98</v>
      </c>
      <c r="BK1188" t="s">
        <v>138</v>
      </c>
      <c r="CA1188" t="s">
        <v>3890</v>
      </c>
      <c r="CB1188" t="s">
        <v>245</v>
      </c>
      <c r="CL1188" t="s">
        <v>98</v>
      </c>
      <c r="CM1188" t="s">
        <v>98</v>
      </c>
      <c r="CN1188" t="s">
        <v>349</v>
      </c>
      <c r="CO1188" s="1">
        <v>40827</v>
      </c>
      <c r="CP1188" s="1">
        <v>43595</v>
      </c>
    </row>
    <row r="1189" spans="1:94" x14ac:dyDescent="0.25">
      <c r="A1189" s="4" t="s">
        <v>3907</v>
      </c>
      <c r="B1189" t="str">
        <f xml:space="preserve"> "" &amp; 706411040405</f>
        <v>706411040405</v>
      </c>
      <c r="C1189" t="s">
        <v>3852</v>
      </c>
      <c r="D1189" t="s">
        <v>3908</v>
      </c>
      <c r="F1189" t="s">
        <v>135</v>
      </c>
      <c r="G1189">
        <v>1</v>
      </c>
      <c r="H1189">
        <v>1</v>
      </c>
      <c r="I1189" t="s">
        <v>97</v>
      </c>
      <c r="J1189" s="32">
        <v>37.950000000000003</v>
      </c>
      <c r="K1189" s="32">
        <v>113.85</v>
      </c>
      <c r="L1189">
        <v>0</v>
      </c>
      <c r="N1189">
        <v>0</v>
      </c>
      <c r="S1189">
        <v>2.75</v>
      </c>
      <c r="T1189">
        <v>11.88</v>
      </c>
      <c r="U1189">
        <v>11.75</v>
      </c>
      <c r="W1189">
        <v>2.36</v>
      </c>
      <c r="X1189">
        <v>1</v>
      </c>
      <c r="Y1189">
        <v>7.25</v>
      </c>
      <c r="Z1189">
        <v>11.88</v>
      </c>
      <c r="AA1189">
        <v>11.88</v>
      </c>
      <c r="AB1189">
        <v>0.59199999999999997</v>
      </c>
      <c r="AC1189">
        <v>3.26</v>
      </c>
      <c r="AE1189">
        <v>4</v>
      </c>
      <c r="AF1189" t="s">
        <v>3888</v>
      </c>
      <c r="AG1189">
        <v>13</v>
      </c>
      <c r="AK1189" t="s">
        <v>98</v>
      </c>
      <c r="AM1189" t="s">
        <v>98</v>
      </c>
      <c r="AN1189" t="s">
        <v>98</v>
      </c>
      <c r="AO1189" t="s">
        <v>291</v>
      </c>
      <c r="AP1189" t="s">
        <v>99</v>
      </c>
      <c r="AQ1189" t="s">
        <v>102</v>
      </c>
      <c r="AV1189" t="s">
        <v>98</v>
      </c>
      <c r="AX1189" t="s">
        <v>253</v>
      </c>
      <c r="AZ1189" t="s">
        <v>109</v>
      </c>
      <c r="BF1189" t="s">
        <v>3909</v>
      </c>
      <c r="BG1189" t="s">
        <v>98</v>
      </c>
      <c r="BH1189" t="s">
        <v>98</v>
      </c>
      <c r="BI1189" t="s">
        <v>98</v>
      </c>
      <c r="BK1189" t="s">
        <v>138</v>
      </c>
      <c r="CA1189" t="s">
        <v>3890</v>
      </c>
      <c r="CB1189" t="s">
        <v>253</v>
      </c>
      <c r="CL1189" t="s">
        <v>98</v>
      </c>
      <c r="CM1189" t="s">
        <v>98</v>
      </c>
      <c r="CN1189" t="s">
        <v>349</v>
      </c>
      <c r="CO1189" s="1">
        <v>40484</v>
      </c>
      <c r="CP1189" s="1">
        <v>43595</v>
      </c>
    </row>
    <row r="1190" spans="1:94" x14ac:dyDescent="0.25">
      <c r="A1190" s="4" t="s">
        <v>3910</v>
      </c>
      <c r="B1190" t="str">
        <f xml:space="preserve"> "" &amp; 706411040436</f>
        <v>706411040436</v>
      </c>
      <c r="C1190" t="s">
        <v>3852</v>
      </c>
      <c r="D1190" t="s">
        <v>3911</v>
      </c>
      <c r="F1190" t="s">
        <v>135</v>
      </c>
      <c r="G1190">
        <v>1</v>
      </c>
      <c r="H1190">
        <v>1</v>
      </c>
      <c r="I1190" t="s">
        <v>97</v>
      </c>
      <c r="J1190" s="32">
        <v>37.950000000000003</v>
      </c>
      <c r="K1190" s="32">
        <v>113.85</v>
      </c>
      <c r="L1190">
        <v>0</v>
      </c>
      <c r="N1190">
        <v>0</v>
      </c>
      <c r="S1190">
        <v>2.75</v>
      </c>
      <c r="T1190">
        <v>11.88</v>
      </c>
      <c r="U1190">
        <v>11.75</v>
      </c>
      <c r="W1190">
        <v>2.36</v>
      </c>
      <c r="X1190">
        <v>1</v>
      </c>
      <c r="Y1190">
        <v>7.25</v>
      </c>
      <c r="Z1190">
        <v>11.88</v>
      </c>
      <c r="AA1190">
        <v>11.88</v>
      </c>
      <c r="AB1190">
        <v>0.59199999999999997</v>
      </c>
      <c r="AC1190">
        <v>3.26</v>
      </c>
      <c r="AE1190">
        <v>4</v>
      </c>
      <c r="AF1190" t="s">
        <v>3888</v>
      </c>
      <c r="AG1190">
        <v>13</v>
      </c>
      <c r="AK1190" t="s">
        <v>98</v>
      </c>
      <c r="AM1190" t="s">
        <v>98</v>
      </c>
      <c r="AN1190" t="s">
        <v>98</v>
      </c>
      <c r="AO1190" t="s">
        <v>291</v>
      </c>
      <c r="AP1190" t="s">
        <v>99</v>
      </c>
      <c r="AQ1190" t="s">
        <v>102</v>
      </c>
      <c r="AV1190" t="s">
        <v>98</v>
      </c>
      <c r="AX1190" t="s">
        <v>261</v>
      </c>
      <c r="AZ1190" t="s">
        <v>109</v>
      </c>
      <c r="BF1190" t="s">
        <v>3912</v>
      </c>
      <c r="BG1190" t="s">
        <v>98</v>
      </c>
      <c r="BH1190" t="s">
        <v>98</v>
      </c>
      <c r="BI1190" t="s">
        <v>98</v>
      </c>
      <c r="BK1190" t="s">
        <v>138</v>
      </c>
      <c r="CA1190" t="s">
        <v>3890</v>
      </c>
      <c r="CB1190" t="s">
        <v>261</v>
      </c>
      <c r="CL1190" t="s">
        <v>98</v>
      </c>
      <c r="CM1190" t="s">
        <v>98</v>
      </c>
      <c r="CN1190" t="s">
        <v>349</v>
      </c>
      <c r="CO1190" s="1">
        <v>40484</v>
      </c>
      <c r="CP1190" s="1">
        <v>43595</v>
      </c>
    </row>
    <row r="1191" spans="1:94" x14ac:dyDescent="0.25">
      <c r="A1191" s="4" t="s">
        <v>3913</v>
      </c>
      <c r="B1191" t="str">
        <f xml:space="preserve"> "" &amp; 706411040627</f>
        <v>706411040627</v>
      </c>
      <c r="C1191" t="s">
        <v>3852</v>
      </c>
      <c r="D1191" t="s">
        <v>3914</v>
      </c>
      <c r="F1191" t="s">
        <v>135</v>
      </c>
      <c r="G1191">
        <v>1</v>
      </c>
      <c r="H1191">
        <v>1</v>
      </c>
      <c r="I1191" t="s">
        <v>97</v>
      </c>
      <c r="J1191" s="32">
        <v>37.950000000000003</v>
      </c>
      <c r="K1191" s="32">
        <v>113.85</v>
      </c>
      <c r="L1191">
        <v>0</v>
      </c>
      <c r="N1191">
        <v>0</v>
      </c>
      <c r="S1191">
        <v>2.75</v>
      </c>
      <c r="T1191">
        <v>11.88</v>
      </c>
      <c r="U1191">
        <v>11.75</v>
      </c>
      <c r="W1191">
        <v>2.36</v>
      </c>
      <c r="X1191">
        <v>1</v>
      </c>
      <c r="Y1191">
        <v>7.25</v>
      </c>
      <c r="Z1191">
        <v>11.88</v>
      </c>
      <c r="AA1191">
        <v>11.88</v>
      </c>
      <c r="AB1191">
        <v>0.59199999999999997</v>
      </c>
      <c r="AC1191">
        <v>3.26</v>
      </c>
      <c r="AE1191">
        <v>4</v>
      </c>
      <c r="AF1191" t="s">
        <v>3888</v>
      </c>
      <c r="AG1191">
        <v>13</v>
      </c>
      <c r="AK1191" t="s">
        <v>98</v>
      </c>
      <c r="AM1191" t="s">
        <v>98</v>
      </c>
      <c r="AN1191" t="s">
        <v>98</v>
      </c>
      <c r="AO1191" t="s">
        <v>291</v>
      </c>
      <c r="AP1191" t="s">
        <v>99</v>
      </c>
      <c r="AQ1191" t="s">
        <v>102</v>
      </c>
      <c r="AV1191" t="s">
        <v>98</v>
      </c>
      <c r="AX1191" t="s">
        <v>277</v>
      </c>
      <c r="AZ1191" t="s">
        <v>109</v>
      </c>
      <c r="BF1191" t="s">
        <v>3915</v>
      </c>
      <c r="BG1191" t="s">
        <v>98</v>
      </c>
      <c r="BH1191" t="s">
        <v>98</v>
      </c>
      <c r="BI1191" t="s">
        <v>98</v>
      </c>
      <c r="BK1191" t="s">
        <v>138</v>
      </c>
      <c r="CA1191" t="s">
        <v>3890</v>
      </c>
      <c r="CB1191" t="s">
        <v>277</v>
      </c>
      <c r="CL1191" t="s">
        <v>98</v>
      </c>
      <c r="CM1191" t="s">
        <v>98</v>
      </c>
      <c r="CN1191" t="s">
        <v>349</v>
      </c>
      <c r="CO1191" s="1">
        <v>40484</v>
      </c>
      <c r="CP1191" s="1">
        <v>43595</v>
      </c>
    </row>
    <row r="1192" spans="1:94" x14ac:dyDescent="0.25">
      <c r="A1192" s="4" t="s">
        <v>3916</v>
      </c>
      <c r="B1192" t="str">
        <f xml:space="preserve"> "" &amp; 706411040450</f>
        <v>706411040450</v>
      </c>
      <c r="C1192" t="s">
        <v>3872</v>
      </c>
      <c r="D1192" t="s">
        <v>3917</v>
      </c>
      <c r="F1192" t="s">
        <v>135</v>
      </c>
      <c r="G1192">
        <v>1</v>
      </c>
      <c r="H1192">
        <v>1</v>
      </c>
      <c r="I1192" t="s">
        <v>97</v>
      </c>
      <c r="J1192" s="32">
        <v>26.95</v>
      </c>
      <c r="K1192" s="32">
        <v>80.849999999999994</v>
      </c>
      <c r="L1192">
        <v>0</v>
      </c>
      <c r="N1192">
        <v>0</v>
      </c>
      <c r="S1192">
        <v>3.5</v>
      </c>
      <c r="T1192">
        <v>9.1300000000000008</v>
      </c>
      <c r="U1192">
        <v>7.25</v>
      </c>
      <c r="W1192">
        <v>1.54</v>
      </c>
      <c r="X1192">
        <v>1</v>
      </c>
      <c r="Y1192">
        <v>9.1300000000000008</v>
      </c>
      <c r="Z1192">
        <v>9.1300000000000008</v>
      </c>
      <c r="AA1192">
        <v>7.88</v>
      </c>
      <c r="AB1192">
        <v>0.38</v>
      </c>
      <c r="AC1192">
        <v>2.12</v>
      </c>
      <c r="AE1192">
        <v>3</v>
      </c>
      <c r="AF1192" t="s">
        <v>3888</v>
      </c>
      <c r="AG1192">
        <v>13</v>
      </c>
      <c r="AK1192" t="s">
        <v>98</v>
      </c>
      <c r="AM1192" t="s">
        <v>98</v>
      </c>
      <c r="AN1192" t="s">
        <v>98</v>
      </c>
      <c r="AO1192" t="s">
        <v>291</v>
      </c>
      <c r="AP1192" t="s">
        <v>99</v>
      </c>
      <c r="AQ1192" t="s">
        <v>102</v>
      </c>
      <c r="AV1192" t="s">
        <v>98</v>
      </c>
      <c r="AX1192" t="s">
        <v>302</v>
      </c>
      <c r="AZ1192" t="s">
        <v>109</v>
      </c>
      <c r="BF1192" t="s">
        <v>3918</v>
      </c>
      <c r="BG1192" t="s">
        <v>98</v>
      </c>
      <c r="BH1192" t="s">
        <v>98</v>
      </c>
      <c r="BI1192" t="s">
        <v>98</v>
      </c>
      <c r="BK1192" t="s">
        <v>138</v>
      </c>
      <c r="CB1192" t="s">
        <v>302</v>
      </c>
      <c r="CL1192" t="s">
        <v>98</v>
      </c>
      <c r="CM1192" t="s">
        <v>98</v>
      </c>
      <c r="CN1192" t="s">
        <v>349</v>
      </c>
      <c r="CP1192" s="1">
        <v>43595</v>
      </c>
    </row>
    <row r="1193" spans="1:94" x14ac:dyDescent="0.25">
      <c r="A1193" s="4" t="s">
        <v>3919</v>
      </c>
      <c r="B1193" t="str">
        <f xml:space="preserve"> "" &amp; 706411040528</f>
        <v>706411040528</v>
      </c>
      <c r="C1193" t="s">
        <v>3872</v>
      </c>
      <c r="D1193" t="s">
        <v>3920</v>
      </c>
      <c r="F1193" t="s">
        <v>135</v>
      </c>
      <c r="G1193">
        <v>1</v>
      </c>
      <c r="H1193">
        <v>1</v>
      </c>
      <c r="I1193" t="s">
        <v>97</v>
      </c>
      <c r="J1193" s="32">
        <v>26.95</v>
      </c>
      <c r="K1193" s="32">
        <v>80.849999999999994</v>
      </c>
      <c r="L1193">
        <v>0</v>
      </c>
      <c r="N1193">
        <v>0</v>
      </c>
      <c r="S1193">
        <v>3.5</v>
      </c>
      <c r="T1193">
        <v>9.1300000000000008</v>
      </c>
      <c r="U1193">
        <v>7.25</v>
      </c>
      <c r="W1193">
        <v>1.54</v>
      </c>
      <c r="X1193">
        <v>1</v>
      </c>
      <c r="Y1193">
        <v>9.1300000000000008</v>
      </c>
      <c r="Z1193">
        <v>9.1300000000000008</v>
      </c>
      <c r="AA1193">
        <v>7.88</v>
      </c>
      <c r="AB1193">
        <v>0.38</v>
      </c>
      <c r="AC1193">
        <v>2.12</v>
      </c>
      <c r="AE1193">
        <v>3</v>
      </c>
      <c r="AF1193" t="s">
        <v>3888</v>
      </c>
      <c r="AG1193">
        <v>13</v>
      </c>
      <c r="AK1193" t="s">
        <v>98</v>
      </c>
      <c r="AM1193" t="s">
        <v>98</v>
      </c>
      <c r="AN1193" t="s">
        <v>98</v>
      </c>
      <c r="AO1193" t="s">
        <v>291</v>
      </c>
      <c r="AP1193" t="s">
        <v>99</v>
      </c>
      <c r="AQ1193" t="s">
        <v>102</v>
      </c>
      <c r="AV1193" t="s">
        <v>98</v>
      </c>
      <c r="AX1193" t="s">
        <v>201</v>
      </c>
      <c r="AZ1193" t="s">
        <v>109</v>
      </c>
      <c r="BF1193" t="s">
        <v>3921</v>
      </c>
      <c r="BG1193" t="s">
        <v>98</v>
      </c>
      <c r="BH1193" t="s">
        <v>98</v>
      </c>
      <c r="BI1193" t="s">
        <v>98</v>
      </c>
      <c r="BK1193" t="s">
        <v>138</v>
      </c>
      <c r="CA1193" t="s">
        <v>3922</v>
      </c>
      <c r="CB1193" t="s">
        <v>201</v>
      </c>
      <c r="CL1193" t="s">
        <v>98</v>
      </c>
      <c r="CM1193" t="s">
        <v>98</v>
      </c>
      <c r="CN1193" t="s">
        <v>349</v>
      </c>
      <c r="CO1193" s="1">
        <v>40484</v>
      </c>
      <c r="CP1193" s="1">
        <v>43595</v>
      </c>
    </row>
    <row r="1194" spans="1:94" x14ac:dyDescent="0.25">
      <c r="A1194" s="4" t="s">
        <v>3923</v>
      </c>
      <c r="B1194" t="str">
        <f xml:space="preserve"> "" &amp; 706411042935</f>
        <v>706411042935</v>
      </c>
      <c r="C1194" t="s">
        <v>3872</v>
      </c>
      <c r="D1194" t="s">
        <v>3924</v>
      </c>
      <c r="F1194" t="s">
        <v>135</v>
      </c>
      <c r="G1194">
        <v>1</v>
      </c>
      <c r="H1194">
        <v>1</v>
      </c>
      <c r="I1194" t="s">
        <v>97</v>
      </c>
      <c r="J1194" s="32">
        <v>26.95</v>
      </c>
      <c r="K1194" s="32">
        <v>80.849999999999994</v>
      </c>
      <c r="L1194">
        <v>0</v>
      </c>
      <c r="N1194">
        <v>0</v>
      </c>
      <c r="S1194">
        <v>3.5</v>
      </c>
      <c r="T1194">
        <v>9.1300000000000008</v>
      </c>
      <c r="U1194">
        <v>7.25</v>
      </c>
      <c r="W1194">
        <v>1.54</v>
      </c>
      <c r="X1194">
        <v>1</v>
      </c>
      <c r="Y1194">
        <v>9.1300000000000008</v>
      </c>
      <c r="Z1194">
        <v>9.1300000000000008</v>
      </c>
      <c r="AA1194">
        <v>7.88</v>
      </c>
      <c r="AB1194">
        <v>0.38</v>
      </c>
      <c r="AC1194">
        <v>2.12</v>
      </c>
      <c r="AE1194">
        <v>3</v>
      </c>
      <c r="AF1194" t="s">
        <v>3888</v>
      </c>
      <c r="AG1194">
        <v>13</v>
      </c>
      <c r="AK1194" t="s">
        <v>98</v>
      </c>
      <c r="AM1194" t="s">
        <v>98</v>
      </c>
      <c r="AN1194" t="s">
        <v>98</v>
      </c>
      <c r="AO1194" t="s">
        <v>291</v>
      </c>
      <c r="AP1194" t="s">
        <v>99</v>
      </c>
      <c r="AQ1194" t="s">
        <v>102</v>
      </c>
      <c r="AV1194" t="s">
        <v>98</v>
      </c>
      <c r="AX1194" t="s">
        <v>219</v>
      </c>
      <c r="AZ1194" t="s">
        <v>109</v>
      </c>
      <c r="BF1194" t="s">
        <v>3925</v>
      </c>
      <c r="BG1194" t="s">
        <v>98</v>
      </c>
      <c r="BH1194" t="s">
        <v>98</v>
      </c>
      <c r="BI1194" t="s">
        <v>98</v>
      </c>
      <c r="BK1194" t="s">
        <v>138</v>
      </c>
      <c r="CA1194" t="s">
        <v>3922</v>
      </c>
      <c r="CB1194" t="s">
        <v>219</v>
      </c>
      <c r="CL1194" t="s">
        <v>98</v>
      </c>
      <c r="CM1194" t="s">
        <v>98</v>
      </c>
      <c r="CN1194" t="s">
        <v>349</v>
      </c>
      <c r="CO1194" s="1">
        <v>40484</v>
      </c>
      <c r="CP1194" s="1">
        <v>43595</v>
      </c>
    </row>
    <row r="1195" spans="1:94" x14ac:dyDescent="0.25">
      <c r="A1195" s="4" t="s">
        <v>3926</v>
      </c>
      <c r="B1195" t="str">
        <f xml:space="preserve"> "" &amp; 706411040511</f>
        <v>706411040511</v>
      </c>
      <c r="C1195" t="s">
        <v>3872</v>
      </c>
      <c r="D1195" t="s">
        <v>3927</v>
      </c>
      <c r="F1195" t="s">
        <v>135</v>
      </c>
      <c r="G1195">
        <v>1</v>
      </c>
      <c r="H1195">
        <v>1</v>
      </c>
      <c r="I1195" t="s">
        <v>97</v>
      </c>
      <c r="J1195" s="32">
        <v>26.95</v>
      </c>
      <c r="K1195" s="32">
        <v>80.849999999999994</v>
      </c>
      <c r="L1195">
        <v>0</v>
      </c>
      <c r="N1195">
        <v>0</v>
      </c>
      <c r="S1195">
        <v>3.5</v>
      </c>
      <c r="T1195">
        <v>9.1300000000000008</v>
      </c>
      <c r="U1195">
        <v>7.25</v>
      </c>
      <c r="W1195">
        <v>1.54</v>
      </c>
      <c r="X1195">
        <v>1</v>
      </c>
      <c r="Y1195">
        <v>9.1300000000000008</v>
      </c>
      <c r="Z1195">
        <v>9.1300000000000008</v>
      </c>
      <c r="AA1195">
        <v>7.88</v>
      </c>
      <c r="AB1195">
        <v>0.38</v>
      </c>
      <c r="AC1195">
        <v>2.12</v>
      </c>
      <c r="AE1195">
        <v>3</v>
      </c>
      <c r="AF1195" t="s">
        <v>3900</v>
      </c>
      <c r="AG1195">
        <v>13</v>
      </c>
      <c r="AK1195" t="s">
        <v>291</v>
      </c>
      <c r="AM1195" t="s">
        <v>98</v>
      </c>
      <c r="AN1195" t="s">
        <v>98</v>
      </c>
      <c r="AO1195" t="s">
        <v>291</v>
      </c>
      <c r="AP1195" t="s">
        <v>99</v>
      </c>
      <c r="AQ1195" t="s">
        <v>102</v>
      </c>
      <c r="AV1195" t="s">
        <v>98</v>
      </c>
      <c r="AX1195" t="s">
        <v>227</v>
      </c>
      <c r="AZ1195" t="s">
        <v>109</v>
      </c>
      <c r="BF1195" t="s">
        <v>3928</v>
      </c>
      <c r="BG1195" t="s">
        <v>98</v>
      </c>
      <c r="BH1195" t="s">
        <v>98</v>
      </c>
      <c r="BI1195" t="s">
        <v>98</v>
      </c>
      <c r="BK1195" t="s">
        <v>138</v>
      </c>
      <c r="CA1195" t="s">
        <v>3922</v>
      </c>
      <c r="CB1195" t="s">
        <v>227</v>
      </c>
      <c r="CL1195" t="s">
        <v>98</v>
      </c>
      <c r="CM1195" t="s">
        <v>98</v>
      </c>
      <c r="CN1195" t="s">
        <v>349</v>
      </c>
      <c r="CO1195" s="1">
        <v>40484</v>
      </c>
      <c r="CP1195" s="1">
        <v>43595</v>
      </c>
    </row>
    <row r="1196" spans="1:94" x14ac:dyDescent="0.25">
      <c r="A1196" s="4" t="s">
        <v>3929</v>
      </c>
      <c r="B1196" t="str">
        <f xml:space="preserve"> "" &amp; 706411040481</f>
        <v>706411040481</v>
      </c>
      <c r="C1196" t="s">
        <v>3872</v>
      </c>
      <c r="D1196" t="s">
        <v>3930</v>
      </c>
      <c r="F1196" t="s">
        <v>135</v>
      </c>
      <c r="G1196">
        <v>1</v>
      </c>
      <c r="H1196">
        <v>1</v>
      </c>
      <c r="I1196" t="s">
        <v>97</v>
      </c>
      <c r="J1196" s="32">
        <v>26.95</v>
      </c>
      <c r="K1196" s="32">
        <v>80.849999999999994</v>
      </c>
      <c r="L1196">
        <v>0</v>
      </c>
      <c r="N1196">
        <v>0</v>
      </c>
      <c r="S1196">
        <v>3.5</v>
      </c>
      <c r="T1196">
        <v>9.1300000000000008</v>
      </c>
      <c r="U1196">
        <v>7.25</v>
      </c>
      <c r="W1196">
        <v>1.54</v>
      </c>
      <c r="X1196">
        <v>1</v>
      </c>
      <c r="Y1196">
        <v>9.1300000000000008</v>
      </c>
      <c r="Z1196">
        <v>9.1300000000000008</v>
      </c>
      <c r="AA1196">
        <v>7.88</v>
      </c>
      <c r="AB1196">
        <v>0.38</v>
      </c>
      <c r="AC1196">
        <v>2.12</v>
      </c>
      <c r="AE1196">
        <v>3</v>
      </c>
      <c r="AF1196" t="s">
        <v>3900</v>
      </c>
      <c r="AG1196">
        <v>13</v>
      </c>
      <c r="AK1196" t="s">
        <v>291</v>
      </c>
      <c r="AM1196" t="s">
        <v>98</v>
      </c>
      <c r="AN1196" t="s">
        <v>98</v>
      </c>
      <c r="AO1196" t="s">
        <v>291</v>
      </c>
      <c r="AP1196" t="s">
        <v>99</v>
      </c>
      <c r="AQ1196" t="s">
        <v>102</v>
      </c>
      <c r="AV1196" t="s">
        <v>98</v>
      </c>
      <c r="AX1196" t="s">
        <v>245</v>
      </c>
      <c r="AZ1196" t="s">
        <v>109</v>
      </c>
      <c r="BF1196" t="s">
        <v>3931</v>
      </c>
      <c r="BG1196" t="s">
        <v>98</v>
      </c>
      <c r="BH1196" t="s">
        <v>98</v>
      </c>
      <c r="BI1196" t="s">
        <v>98</v>
      </c>
      <c r="BK1196" t="s">
        <v>138</v>
      </c>
      <c r="CA1196" t="s">
        <v>3922</v>
      </c>
      <c r="CB1196" t="s">
        <v>245</v>
      </c>
      <c r="CL1196" t="s">
        <v>98</v>
      </c>
      <c r="CM1196" t="s">
        <v>98</v>
      </c>
      <c r="CN1196" t="s">
        <v>349</v>
      </c>
      <c r="CO1196" s="1">
        <v>40484</v>
      </c>
      <c r="CP1196" s="1">
        <v>43595</v>
      </c>
    </row>
    <row r="1197" spans="1:94" x14ac:dyDescent="0.25">
      <c r="A1197" s="4" t="s">
        <v>3932</v>
      </c>
      <c r="B1197" t="str">
        <f xml:space="preserve"> "" &amp; 706411040535</f>
        <v>706411040535</v>
      </c>
      <c r="C1197" t="s">
        <v>3872</v>
      </c>
      <c r="D1197" t="s">
        <v>3933</v>
      </c>
      <c r="F1197" t="s">
        <v>135</v>
      </c>
      <c r="G1197">
        <v>1</v>
      </c>
      <c r="H1197">
        <v>1</v>
      </c>
      <c r="I1197" t="s">
        <v>97</v>
      </c>
      <c r="J1197" s="32">
        <v>26.95</v>
      </c>
      <c r="K1197" s="32">
        <v>80.849999999999994</v>
      </c>
      <c r="L1197">
        <v>0</v>
      </c>
      <c r="N1197">
        <v>0</v>
      </c>
      <c r="S1197">
        <v>3.5</v>
      </c>
      <c r="T1197">
        <v>9.1300000000000008</v>
      </c>
      <c r="U1197">
        <v>7.25</v>
      </c>
      <c r="W1197">
        <v>1.54</v>
      </c>
      <c r="X1197">
        <v>1</v>
      </c>
      <c r="Y1197">
        <v>9.1300000000000008</v>
      </c>
      <c r="Z1197">
        <v>9.1300000000000008</v>
      </c>
      <c r="AA1197">
        <v>7.88</v>
      </c>
      <c r="AB1197">
        <v>0.38</v>
      </c>
      <c r="AC1197">
        <v>2.12</v>
      </c>
      <c r="AE1197">
        <v>3</v>
      </c>
      <c r="AF1197" t="s">
        <v>3888</v>
      </c>
      <c r="AG1197">
        <v>13</v>
      </c>
      <c r="AK1197" t="s">
        <v>98</v>
      </c>
      <c r="AM1197" t="s">
        <v>98</v>
      </c>
      <c r="AN1197" t="s">
        <v>98</v>
      </c>
      <c r="AO1197" t="s">
        <v>291</v>
      </c>
      <c r="AP1197" t="s">
        <v>99</v>
      </c>
      <c r="AQ1197" t="s">
        <v>102</v>
      </c>
      <c r="AV1197" t="s">
        <v>98</v>
      </c>
      <c r="AX1197" t="s">
        <v>261</v>
      </c>
      <c r="AZ1197" t="s">
        <v>109</v>
      </c>
      <c r="BF1197" t="s">
        <v>3934</v>
      </c>
      <c r="BG1197" t="s">
        <v>98</v>
      </c>
      <c r="BH1197" t="s">
        <v>98</v>
      </c>
      <c r="BI1197" t="s">
        <v>98</v>
      </c>
      <c r="BK1197" t="s">
        <v>138</v>
      </c>
      <c r="CA1197" t="s">
        <v>3922</v>
      </c>
      <c r="CB1197" t="s">
        <v>261</v>
      </c>
      <c r="CL1197" t="s">
        <v>98</v>
      </c>
      <c r="CM1197" t="s">
        <v>98</v>
      </c>
      <c r="CN1197" t="s">
        <v>349</v>
      </c>
      <c r="CO1197" s="1">
        <v>40484</v>
      </c>
      <c r="CP1197" s="1">
        <v>43595</v>
      </c>
    </row>
    <row r="1198" spans="1:94" x14ac:dyDescent="0.25">
      <c r="A1198" s="4" t="s">
        <v>3935</v>
      </c>
      <c r="B1198" t="str">
        <f xml:space="preserve"> "" &amp; 706411040665</f>
        <v>706411040665</v>
      </c>
      <c r="C1198" t="s">
        <v>3872</v>
      </c>
      <c r="D1198" t="s">
        <v>3936</v>
      </c>
      <c r="F1198" t="s">
        <v>135</v>
      </c>
      <c r="G1198">
        <v>1</v>
      </c>
      <c r="H1198">
        <v>1</v>
      </c>
      <c r="I1198" t="s">
        <v>97</v>
      </c>
      <c r="J1198" s="32">
        <v>26.95</v>
      </c>
      <c r="K1198" s="32">
        <v>80.849999999999994</v>
      </c>
      <c r="L1198">
        <v>0</v>
      </c>
      <c r="N1198">
        <v>0</v>
      </c>
      <c r="S1198">
        <v>3.5</v>
      </c>
      <c r="T1198">
        <v>9.1300000000000008</v>
      </c>
      <c r="U1198">
        <v>7.25</v>
      </c>
      <c r="W1198">
        <v>1.54</v>
      </c>
      <c r="X1198">
        <v>1</v>
      </c>
      <c r="Y1198">
        <v>9.1300000000000008</v>
      </c>
      <c r="Z1198">
        <v>9.1300000000000008</v>
      </c>
      <c r="AA1198">
        <v>7.88</v>
      </c>
      <c r="AB1198">
        <v>0.38</v>
      </c>
      <c r="AC1198">
        <v>2.12</v>
      </c>
      <c r="AE1198">
        <v>3</v>
      </c>
      <c r="AF1198" t="s">
        <v>3900</v>
      </c>
      <c r="AG1198">
        <v>13</v>
      </c>
      <c r="AK1198" t="s">
        <v>291</v>
      </c>
      <c r="AM1198" t="s">
        <v>98</v>
      </c>
      <c r="AN1198" t="s">
        <v>98</v>
      </c>
      <c r="AO1198" t="s">
        <v>291</v>
      </c>
      <c r="AP1198" t="s">
        <v>99</v>
      </c>
      <c r="AQ1198" t="s">
        <v>102</v>
      </c>
      <c r="AV1198" t="s">
        <v>98</v>
      </c>
      <c r="AX1198" t="s">
        <v>277</v>
      </c>
      <c r="AZ1198" t="s">
        <v>109</v>
      </c>
      <c r="BF1198" t="s">
        <v>3937</v>
      </c>
      <c r="BG1198" t="s">
        <v>98</v>
      </c>
      <c r="BH1198" t="s">
        <v>98</v>
      </c>
      <c r="BI1198" t="s">
        <v>98</v>
      </c>
      <c r="BK1198" t="s">
        <v>138</v>
      </c>
      <c r="CA1198" t="s">
        <v>3922</v>
      </c>
      <c r="CB1198" t="s">
        <v>277</v>
      </c>
      <c r="CL1198" t="s">
        <v>98</v>
      </c>
      <c r="CM1198" t="s">
        <v>98</v>
      </c>
      <c r="CN1198" t="s">
        <v>349</v>
      </c>
      <c r="CO1198" s="1">
        <v>40484</v>
      </c>
      <c r="CP1198" s="1">
        <v>43595</v>
      </c>
    </row>
    <row r="1199" spans="1:94" x14ac:dyDescent="0.25">
      <c r="A1199" s="4" t="s">
        <v>3938</v>
      </c>
      <c r="B1199" t="str">
        <f xml:space="preserve"> "" &amp; 706411056352</f>
        <v>706411056352</v>
      </c>
      <c r="C1199" t="s">
        <v>3939</v>
      </c>
      <c r="D1199" t="s">
        <v>3940</v>
      </c>
      <c r="F1199" t="s">
        <v>135</v>
      </c>
      <c r="G1199">
        <v>1</v>
      </c>
      <c r="H1199">
        <v>1</v>
      </c>
      <c r="I1199" t="s">
        <v>97</v>
      </c>
      <c r="J1199" s="32">
        <v>49.95</v>
      </c>
      <c r="K1199" s="32">
        <v>149.85</v>
      </c>
      <c r="L1199">
        <v>0</v>
      </c>
      <c r="N1199">
        <v>0</v>
      </c>
      <c r="S1199">
        <v>3.75</v>
      </c>
      <c r="T1199">
        <v>12.25</v>
      </c>
      <c r="U1199">
        <v>12.25</v>
      </c>
      <c r="W1199">
        <v>5.09</v>
      </c>
      <c r="X1199">
        <v>1</v>
      </c>
      <c r="Y1199">
        <v>7.88</v>
      </c>
      <c r="Z1199">
        <v>14.13</v>
      </c>
      <c r="AA1199">
        <v>14.13</v>
      </c>
      <c r="AB1199">
        <v>0.91</v>
      </c>
      <c r="AC1199">
        <v>6.61</v>
      </c>
      <c r="AE1199">
        <v>1</v>
      </c>
      <c r="AF1199" t="s">
        <v>2141</v>
      </c>
      <c r="AG1199">
        <v>26</v>
      </c>
      <c r="AK1199" t="s">
        <v>291</v>
      </c>
      <c r="AM1199" t="s">
        <v>98</v>
      </c>
      <c r="AN1199" t="s">
        <v>291</v>
      </c>
      <c r="AO1199" t="s">
        <v>98</v>
      </c>
      <c r="AP1199" t="s">
        <v>99</v>
      </c>
      <c r="AQ1199" t="s">
        <v>102</v>
      </c>
      <c r="AV1199" t="s">
        <v>98</v>
      </c>
      <c r="AX1199" t="s">
        <v>302</v>
      </c>
      <c r="AZ1199" t="s">
        <v>109</v>
      </c>
      <c r="BB1199" t="s">
        <v>106</v>
      </c>
      <c r="BC1199" t="s">
        <v>2339</v>
      </c>
      <c r="BF1199" t="s">
        <v>3941</v>
      </c>
      <c r="BG1199" t="s">
        <v>98</v>
      </c>
      <c r="BH1199" t="s">
        <v>98</v>
      </c>
      <c r="BI1199" t="s">
        <v>98</v>
      </c>
      <c r="BK1199" t="s">
        <v>138</v>
      </c>
      <c r="CA1199" t="s">
        <v>3938</v>
      </c>
      <c r="CB1199" t="s">
        <v>302</v>
      </c>
      <c r="CG1199">
        <v>3000</v>
      </c>
      <c r="CH1199">
        <v>92</v>
      </c>
      <c r="CI1199">
        <v>2387</v>
      </c>
      <c r="CJ1199">
        <v>1511</v>
      </c>
      <c r="CK1199">
        <v>30000</v>
      </c>
      <c r="CL1199" t="s">
        <v>291</v>
      </c>
      <c r="CM1199" t="s">
        <v>98</v>
      </c>
      <c r="CN1199" t="s">
        <v>3870</v>
      </c>
      <c r="CO1199" s="1">
        <v>42825</v>
      </c>
      <c r="CP1199" s="1">
        <v>43595</v>
      </c>
    </row>
    <row r="1200" spans="1:94" x14ac:dyDescent="0.25">
      <c r="A1200" s="4" t="s">
        <v>3942</v>
      </c>
      <c r="B1200" t="str">
        <f xml:space="preserve"> "" &amp; 706411056345</f>
        <v>706411056345</v>
      </c>
      <c r="C1200" t="s">
        <v>3939</v>
      </c>
      <c r="D1200" t="s">
        <v>3940</v>
      </c>
      <c r="F1200" t="s">
        <v>135</v>
      </c>
      <c r="G1200">
        <v>1</v>
      </c>
      <c r="H1200">
        <v>1</v>
      </c>
      <c r="I1200" t="s">
        <v>97</v>
      </c>
      <c r="J1200" s="32">
        <v>49.95</v>
      </c>
      <c r="K1200" s="32">
        <v>149.85</v>
      </c>
      <c r="L1200">
        <v>0</v>
      </c>
      <c r="N1200">
        <v>0</v>
      </c>
      <c r="S1200">
        <v>4</v>
      </c>
      <c r="T1200">
        <v>13</v>
      </c>
      <c r="U1200">
        <v>13</v>
      </c>
      <c r="W1200">
        <v>4.25</v>
      </c>
      <c r="X1200">
        <v>1</v>
      </c>
      <c r="Y1200">
        <v>7.88</v>
      </c>
      <c r="Z1200">
        <v>14.13</v>
      </c>
      <c r="AA1200">
        <v>14.13</v>
      </c>
      <c r="AB1200">
        <v>0.91</v>
      </c>
      <c r="AC1200">
        <v>5.73</v>
      </c>
      <c r="AE1200">
        <v>1</v>
      </c>
      <c r="AF1200" t="s">
        <v>2141</v>
      </c>
      <c r="AG1200">
        <v>26</v>
      </c>
      <c r="AK1200" t="s">
        <v>291</v>
      </c>
      <c r="AM1200" t="s">
        <v>98</v>
      </c>
      <c r="AN1200" t="s">
        <v>291</v>
      </c>
      <c r="AO1200" t="s">
        <v>98</v>
      </c>
      <c r="AP1200" t="s">
        <v>99</v>
      </c>
      <c r="AQ1200" t="s">
        <v>102</v>
      </c>
      <c r="AV1200" t="s">
        <v>98</v>
      </c>
      <c r="AX1200" t="s">
        <v>302</v>
      </c>
      <c r="AZ1200" t="s">
        <v>109</v>
      </c>
      <c r="BB1200" t="s">
        <v>106</v>
      </c>
      <c r="BC1200" t="s">
        <v>2847</v>
      </c>
      <c r="BF1200" t="s">
        <v>3943</v>
      </c>
      <c r="BG1200" t="s">
        <v>98</v>
      </c>
      <c r="BH1200" t="s">
        <v>98</v>
      </c>
      <c r="BI1200" t="s">
        <v>98</v>
      </c>
      <c r="BK1200" t="s">
        <v>138</v>
      </c>
      <c r="CA1200" t="s">
        <v>3942</v>
      </c>
      <c r="CB1200" t="s">
        <v>302</v>
      </c>
      <c r="CG1200">
        <v>3000</v>
      </c>
      <c r="CH1200">
        <v>80</v>
      </c>
      <c r="CI1200">
        <v>2387</v>
      </c>
      <c r="CJ1200">
        <v>1502</v>
      </c>
      <c r="CK1200">
        <v>30000</v>
      </c>
      <c r="CL1200" t="s">
        <v>291</v>
      </c>
      <c r="CM1200" t="s">
        <v>98</v>
      </c>
      <c r="CN1200" t="s">
        <v>3944</v>
      </c>
      <c r="CO1200" s="1">
        <v>42852</v>
      </c>
      <c r="CP1200" s="1">
        <v>43595</v>
      </c>
    </row>
    <row r="1201" spans="1:94" x14ac:dyDescent="0.25">
      <c r="A1201" s="4" t="s">
        <v>3945</v>
      </c>
      <c r="B1201" t="str">
        <f xml:space="preserve"> "" &amp; 706411056369</f>
        <v>706411056369</v>
      </c>
      <c r="C1201" t="s">
        <v>3939</v>
      </c>
      <c r="D1201" t="s">
        <v>3940</v>
      </c>
      <c r="F1201" t="s">
        <v>135</v>
      </c>
      <c r="G1201">
        <v>1</v>
      </c>
      <c r="H1201">
        <v>1</v>
      </c>
      <c r="I1201" t="s">
        <v>97</v>
      </c>
      <c r="J1201" s="32">
        <v>49.95</v>
      </c>
      <c r="K1201" s="32">
        <v>149.85</v>
      </c>
      <c r="L1201">
        <v>0</v>
      </c>
      <c r="N1201">
        <v>0</v>
      </c>
      <c r="S1201">
        <v>3.75</v>
      </c>
      <c r="T1201">
        <v>12.25</v>
      </c>
      <c r="U1201">
        <v>12.25</v>
      </c>
      <c r="W1201">
        <v>4.6500000000000004</v>
      </c>
      <c r="X1201">
        <v>1</v>
      </c>
      <c r="Y1201">
        <v>7.88</v>
      </c>
      <c r="Z1201">
        <v>14.13</v>
      </c>
      <c r="AA1201">
        <v>14.13</v>
      </c>
      <c r="AB1201">
        <v>0.91</v>
      </c>
      <c r="AC1201">
        <v>6.17</v>
      </c>
      <c r="AE1201">
        <v>1</v>
      </c>
      <c r="AF1201" t="s">
        <v>2141</v>
      </c>
      <c r="AG1201">
        <v>26</v>
      </c>
      <c r="AK1201" t="s">
        <v>291</v>
      </c>
      <c r="AM1201" t="s">
        <v>98</v>
      </c>
      <c r="AN1201" t="s">
        <v>291</v>
      </c>
      <c r="AO1201" t="s">
        <v>98</v>
      </c>
      <c r="AP1201" t="s">
        <v>99</v>
      </c>
      <c r="AQ1201" t="s">
        <v>102</v>
      </c>
      <c r="AV1201" t="s">
        <v>98</v>
      </c>
      <c r="AX1201" t="s">
        <v>302</v>
      </c>
      <c r="AZ1201" t="s">
        <v>109</v>
      </c>
      <c r="BB1201" t="s">
        <v>106</v>
      </c>
      <c r="BC1201" t="s">
        <v>2847</v>
      </c>
      <c r="BF1201" t="s">
        <v>3946</v>
      </c>
      <c r="BG1201" t="s">
        <v>98</v>
      </c>
      <c r="BH1201" t="s">
        <v>98</v>
      </c>
      <c r="BI1201" t="s">
        <v>98</v>
      </c>
      <c r="BK1201" t="s">
        <v>138</v>
      </c>
      <c r="CA1201" t="s">
        <v>3945</v>
      </c>
      <c r="CB1201" t="s">
        <v>302</v>
      </c>
      <c r="CG1201">
        <v>3000</v>
      </c>
      <c r="CH1201">
        <v>92</v>
      </c>
      <c r="CI1201">
        <v>2387</v>
      </c>
      <c r="CJ1201">
        <v>1432</v>
      </c>
      <c r="CK1201">
        <v>30000</v>
      </c>
      <c r="CL1201" t="s">
        <v>291</v>
      </c>
      <c r="CM1201" t="s">
        <v>98</v>
      </c>
      <c r="CN1201" t="s">
        <v>3944</v>
      </c>
      <c r="CO1201" s="1">
        <v>42852</v>
      </c>
      <c r="CP1201" s="1">
        <v>43595</v>
      </c>
    </row>
    <row r="1202" spans="1:94" x14ac:dyDescent="0.25">
      <c r="A1202" s="4" t="s">
        <v>3947</v>
      </c>
      <c r="B1202" t="str">
        <f xml:space="preserve"> "" &amp; 706411036958</f>
        <v>706411036958</v>
      </c>
      <c r="C1202" t="s">
        <v>3872</v>
      </c>
      <c r="D1202" t="s">
        <v>3948</v>
      </c>
      <c r="F1202" t="s">
        <v>135</v>
      </c>
      <c r="G1202">
        <v>1</v>
      </c>
      <c r="H1202">
        <v>1</v>
      </c>
      <c r="I1202" t="s">
        <v>97</v>
      </c>
      <c r="J1202" s="32">
        <v>32.950000000000003</v>
      </c>
      <c r="K1202" s="32">
        <v>98.85</v>
      </c>
      <c r="L1202">
        <v>0</v>
      </c>
      <c r="N1202">
        <v>0</v>
      </c>
      <c r="S1202">
        <v>6.75</v>
      </c>
      <c r="U1202">
        <v>13.25</v>
      </c>
      <c r="W1202">
        <v>3.52</v>
      </c>
      <c r="X1202">
        <v>1</v>
      </c>
      <c r="Y1202">
        <v>7.75</v>
      </c>
      <c r="Z1202">
        <v>15.5</v>
      </c>
      <c r="AA1202">
        <v>15.5</v>
      </c>
      <c r="AB1202">
        <v>1.0780000000000001</v>
      </c>
      <c r="AC1202">
        <v>5.83</v>
      </c>
      <c r="AE1202">
        <v>3</v>
      </c>
      <c r="AF1202" t="s">
        <v>2350</v>
      </c>
      <c r="AG1202">
        <v>60</v>
      </c>
      <c r="AK1202" t="s">
        <v>98</v>
      </c>
      <c r="AM1202" t="s">
        <v>98</v>
      </c>
      <c r="AN1202" t="s">
        <v>98</v>
      </c>
      <c r="AO1202" t="s">
        <v>98</v>
      </c>
      <c r="AP1202" t="s">
        <v>99</v>
      </c>
      <c r="AQ1202" t="s">
        <v>102</v>
      </c>
      <c r="AV1202" t="s">
        <v>98</v>
      </c>
      <c r="AX1202" t="s">
        <v>302</v>
      </c>
      <c r="AZ1202" t="s">
        <v>109</v>
      </c>
      <c r="BF1202" t="s">
        <v>3949</v>
      </c>
      <c r="BG1202" t="s">
        <v>98</v>
      </c>
      <c r="BH1202" t="s">
        <v>98</v>
      </c>
      <c r="BI1202" t="s">
        <v>98</v>
      </c>
      <c r="BK1202" t="s">
        <v>138</v>
      </c>
      <c r="CA1202" t="s">
        <v>3947</v>
      </c>
      <c r="CB1202" t="s">
        <v>302</v>
      </c>
      <c r="CL1202" t="s">
        <v>98</v>
      </c>
      <c r="CM1202" t="s">
        <v>98</v>
      </c>
      <c r="CN1202" t="s">
        <v>3870</v>
      </c>
      <c r="CO1202" s="1">
        <v>40459</v>
      </c>
      <c r="CP1202" s="1">
        <v>43595</v>
      </c>
    </row>
    <row r="1203" spans="1:94" x14ac:dyDescent="0.25">
      <c r="A1203" s="4" t="s">
        <v>3950</v>
      </c>
      <c r="B1203" t="str">
        <f xml:space="preserve"> "" &amp; 706411037542</f>
        <v>706411037542</v>
      </c>
      <c r="C1203" t="s">
        <v>3872</v>
      </c>
      <c r="D1203" t="s">
        <v>3951</v>
      </c>
      <c r="F1203" t="s">
        <v>135</v>
      </c>
      <c r="G1203">
        <v>1</v>
      </c>
      <c r="H1203">
        <v>1</v>
      </c>
      <c r="I1203" t="s">
        <v>97</v>
      </c>
      <c r="J1203" s="32">
        <v>30.5</v>
      </c>
      <c r="K1203" s="32">
        <v>91.5</v>
      </c>
      <c r="L1203">
        <v>0</v>
      </c>
      <c r="N1203">
        <v>0</v>
      </c>
      <c r="S1203">
        <v>4.5</v>
      </c>
      <c r="U1203">
        <v>12.5</v>
      </c>
      <c r="W1203">
        <v>3.96</v>
      </c>
      <c r="X1203">
        <v>1</v>
      </c>
      <c r="Y1203">
        <v>8.25</v>
      </c>
      <c r="Z1203">
        <v>13.75</v>
      </c>
      <c r="AA1203">
        <v>13.75</v>
      </c>
      <c r="AB1203">
        <v>0.90300000000000002</v>
      </c>
      <c r="AC1203">
        <v>5.72</v>
      </c>
      <c r="AE1203">
        <v>3</v>
      </c>
      <c r="AF1203" t="s">
        <v>2846</v>
      </c>
      <c r="AG1203">
        <v>60</v>
      </c>
      <c r="AK1203" t="s">
        <v>98</v>
      </c>
      <c r="AM1203" t="s">
        <v>98</v>
      </c>
      <c r="AN1203" t="s">
        <v>98</v>
      </c>
      <c r="AO1203" t="s">
        <v>291</v>
      </c>
      <c r="AP1203" t="s">
        <v>99</v>
      </c>
      <c r="AQ1203" t="s">
        <v>102</v>
      </c>
      <c r="AV1203" t="s">
        <v>98</v>
      </c>
      <c r="AX1203" t="s">
        <v>302</v>
      </c>
      <c r="AZ1203" t="s">
        <v>109</v>
      </c>
      <c r="BB1203" t="s">
        <v>106</v>
      </c>
      <c r="BC1203" t="s">
        <v>3952</v>
      </c>
      <c r="BF1203" t="s">
        <v>3953</v>
      </c>
      <c r="BG1203" t="s">
        <v>98</v>
      </c>
      <c r="BH1203" t="s">
        <v>98</v>
      </c>
      <c r="BI1203" t="s">
        <v>98</v>
      </c>
      <c r="BK1203" t="s">
        <v>138</v>
      </c>
      <c r="CA1203" t="s">
        <v>3954</v>
      </c>
      <c r="CB1203" t="s">
        <v>302</v>
      </c>
      <c r="CL1203" t="s">
        <v>98</v>
      </c>
      <c r="CM1203" t="s">
        <v>98</v>
      </c>
      <c r="CN1203" t="s">
        <v>3870</v>
      </c>
      <c r="CO1203" s="1">
        <v>40459</v>
      </c>
      <c r="CP1203" s="1">
        <v>43595</v>
      </c>
    </row>
    <row r="1204" spans="1:94" x14ac:dyDescent="0.25">
      <c r="A1204" s="4" t="s">
        <v>3955</v>
      </c>
      <c r="B1204" t="str">
        <f xml:space="preserve"> "" &amp; 706411037559</f>
        <v>706411037559</v>
      </c>
      <c r="C1204" t="s">
        <v>3872</v>
      </c>
      <c r="D1204" t="s">
        <v>3956</v>
      </c>
      <c r="F1204" t="s">
        <v>135</v>
      </c>
      <c r="G1204">
        <v>1</v>
      </c>
      <c r="H1204">
        <v>1</v>
      </c>
      <c r="I1204" t="s">
        <v>97</v>
      </c>
      <c r="J1204" s="32">
        <v>32.950000000000003</v>
      </c>
      <c r="K1204" s="32">
        <v>98.85</v>
      </c>
      <c r="L1204">
        <v>0</v>
      </c>
      <c r="N1204">
        <v>0</v>
      </c>
      <c r="S1204">
        <v>6.25</v>
      </c>
      <c r="U1204">
        <v>13</v>
      </c>
      <c r="W1204">
        <v>3.72</v>
      </c>
      <c r="X1204">
        <v>1</v>
      </c>
      <c r="Y1204">
        <v>7.5</v>
      </c>
      <c r="Z1204">
        <v>15</v>
      </c>
      <c r="AA1204">
        <v>15</v>
      </c>
      <c r="AB1204">
        <v>0.97699999999999998</v>
      </c>
      <c r="AC1204">
        <v>5.15</v>
      </c>
      <c r="AE1204">
        <v>3</v>
      </c>
      <c r="AF1204" t="s">
        <v>2350</v>
      </c>
      <c r="AG1204">
        <v>60</v>
      </c>
      <c r="AK1204" t="s">
        <v>291</v>
      </c>
      <c r="AM1204" t="s">
        <v>98</v>
      </c>
      <c r="AN1204" t="s">
        <v>98</v>
      </c>
      <c r="AO1204" t="s">
        <v>291</v>
      </c>
      <c r="AP1204" t="s">
        <v>99</v>
      </c>
      <c r="AQ1204" t="s">
        <v>102</v>
      </c>
      <c r="AV1204" t="s">
        <v>98</v>
      </c>
      <c r="AX1204" t="s">
        <v>302</v>
      </c>
      <c r="AZ1204" t="s">
        <v>109</v>
      </c>
      <c r="BB1204" t="s">
        <v>106</v>
      </c>
      <c r="BC1204" t="s">
        <v>2532</v>
      </c>
      <c r="BF1204" t="s">
        <v>3957</v>
      </c>
      <c r="BG1204" t="s">
        <v>98</v>
      </c>
      <c r="BH1204" t="s">
        <v>98</v>
      </c>
      <c r="BI1204" t="s">
        <v>98</v>
      </c>
      <c r="BK1204" t="s">
        <v>138</v>
      </c>
      <c r="CA1204" t="s">
        <v>3958</v>
      </c>
      <c r="CB1204" t="s">
        <v>302</v>
      </c>
      <c r="CL1204" t="s">
        <v>98</v>
      </c>
      <c r="CM1204" t="s">
        <v>98</v>
      </c>
      <c r="CN1204" t="s">
        <v>3870</v>
      </c>
      <c r="CP1204" s="1">
        <v>43595</v>
      </c>
    </row>
    <row r="1205" spans="1:94" x14ac:dyDescent="0.25">
      <c r="A1205" s="4" t="s">
        <v>3959</v>
      </c>
      <c r="B1205" t="str">
        <f xml:space="preserve"> "" &amp; 706411018664</f>
        <v>706411018664</v>
      </c>
      <c r="C1205" t="s">
        <v>3872</v>
      </c>
      <c r="D1205" t="s">
        <v>3960</v>
      </c>
      <c r="F1205" t="s">
        <v>135</v>
      </c>
      <c r="G1205">
        <v>1</v>
      </c>
      <c r="H1205">
        <v>1</v>
      </c>
      <c r="I1205" t="s">
        <v>97</v>
      </c>
      <c r="J1205" s="32">
        <v>38.75</v>
      </c>
      <c r="K1205" s="32">
        <v>116.25</v>
      </c>
      <c r="L1205">
        <v>0</v>
      </c>
      <c r="N1205">
        <v>0</v>
      </c>
      <c r="S1205">
        <v>6.75</v>
      </c>
      <c r="U1205">
        <v>13.25</v>
      </c>
      <c r="W1205">
        <v>3.41</v>
      </c>
      <c r="X1205">
        <v>1</v>
      </c>
      <c r="Y1205">
        <v>7</v>
      </c>
      <c r="Z1205">
        <v>15.375</v>
      </c>
      <c r="AA1205">
        <v>15.375</v>
      </c>
      <c r="AB1205">
        <v>0.95799999999999996</v>
      </c>
      <c r="AC1205">
        <v>5.13</v>
      </c>
      <c r="AE1205">
        <v>3</v>
      </c>
      <c r="AF1205" t="s">
        <v>2846</v>
      </c>
      <c r="AG1205">
        <v>60</v>
      </c>
      <c r="AK1205" t="s">
        <v>98</v>
      </c>
      <c r="AM1205" t="s">
        <v>98</v>
      </c>
      <c r="AN1205" t="s">
        <v>98</v>
      </c>
      <c r="AO1205" t="s">
        <v>291</v>
      </c>
      <c r="AP1205" t="s">
        <v>99</v>
      </c>
      <c r="AQ1205" t="s">
        <v>102</v>
      </c>
      <c r="AV1205" t="s">
        <v>98</v>
      </c>
      <c r="AX1205" t="s">
        <v>175</v>
      </c>
      <c r="AZ1205" t="s">
        <v>109</v>
      </c>
      <c r="BB1205" t="s">
        <v>106</v>
      </c>
      <c r="BF1205" t="s">
        <v>3961</v>
      </c>
      <c r="BG1205" t="s">
        <v>98</v>
      </c>
      <c r="BH1205" t="s">
        <v>98</v>
      </c>
      <c r="BI1205" t="s">
        <v>98</v>
      </c>
      <c r="BK1205" t="s">
        <v>138</v>
      </c>
      <c r="CA1205" t="s">
        <v>3959</v>
      </c>
      <c r="CB1205" t="s">
        <v>175</v>
      </c>
      <c r="CL1205" t="s">
        <v>98</v>
      </c>
      <c r="CM1205" t="s">
        <v>98</v>
      </c>
      <c r="CO1205" s="1">
        <v>40459</v>
      </c>
      <c r="CP1205" s="1">
        <v>43595</v>
      </c>
    </row>
    <row r="1206" spans="1:94" x14ac:dyDescent="0.25">
      <c r="A1206" s="4" t="s">
        <v>3962</v>
      </c>
      <c r="B1206" t="str">
        <f xml:space="preserve"> "" &amp; 706411018671</f>
        <v>706411018671</v>
      </c>
      <c r="C1206" t="s">
        <v>3872</v>
      </c>
      <c r="D1206" t="s">
        <v>3963</v>
      </c>
      <c r="F1206" t="s">
        <v>135</v>
      </c>
      <c r="G1206">
        <v>1</v>
      </c>
      <c r="H1206">
        <v>1</v>
      </c>
      <c r="I1206" t="s">
        <v>97</v>
      </c>
      <c r="J1206" s="32">
        <v>38.75</v>
      </c>
      <c r="K1206" s="32">
        <v>116.25</v>
      </c>
      <c r="L1206">
        <v>0</v>
      </c>
      <c r="N1206">
        <v>0</v>
      </c>
      <c r="S1206">
        <v>6.75</v>
      </c>
      <c r="U1206">
        <v>13.25</v>
      </c>
      <c r="W1206">
        <v>3.41</v>
      </c>
      <c r="X1206">
        <v>1</v>
      </c>
      <c r="Y1206">
        <v>7</v>
      </c>
      <c r="Z1206">
        <v>15.375</v>
      </c>
      <c r="AA1206">
        <v>15.375</v>
      </c>
      <c r="AB1206">
        <v>0.95799999999999996</v>
      </c>
      <c r="AC1206">
        <v>5.13</v>
      </c>
      <c r="AE1206">
        <v>3</v>
      </c>
      <c r="AF1206" t="s">
        <v>2350</v>
      </c>
      <c r="AG1206">
        <v>60</v>
      </c>
      <c r="AK1206" t="s">
        <v>98</v>
      </c>
      <c r="AM1206" t="s">
        <v>98</v>
      </c>
      <c r="AN1206" t="s">
        <v>98</v>
      </c>
      <c r="AO1206" t="s">
        <v>291</v>
      </c>
      <c r="AP1206" t="s">
        <v>99</v>
      </c>
      <c r="AQ1206" t="s">
        <v>102</v>
      </c>
      <c r="AV1206" t="s">
        <v>98</v>
      </c>
      <c r="AX1206" t="s">
        <v>175</v>
      </c>
      <c r="AZ1206" t="s">
        <v>109</v>
      </c>
      <c r="BB1206" t="s">
        <v>106</v>
      </c>
      <c r="BC1206" t="s">
        <v>118</v>
      </c>
      <c r="BF1206" t="s">
        <v>3964</v>
      </c>
      <c r="BG1206" t="s">
        <v>98</v>
      </c>
      <c r="BH1206" t="s">
        <v>98</v>
      </c>
      <c r="BI1206" t="s">
        <v>98</v>
      </c>
      <c r="BK1206" t="s">
        <v>138</v>
      </c>
      <c r="CA1206" t="s">
        <v>3962</v>
      </c>
      <c r="CB1206" t="s">
        <v>175</v>
      </c>
      <c r="CL1206" t="s">
        <v>98</v>
      </c>
      <c r="CM1206" t="s">
        <v>98</v>
      </c>
      <c r="CN1206" t="s">
        <v>3870</v>
      </c>
      <c r="CO1206" s="1">
        <v>40459</v>
      </c>
      <c r="CP1206" s="1">
        <v>43595</v>
      </c>
    </row>
    <row r="1207" spans="1:94" x14ac:dyDescent="0.25">
      <c r="A1207" s="4" t="s">
        <v>3965</v>
      </c>
      <c r="B1207" t="str">
        <f xml:space="preserve"> "" &amp; 706411018688</f>
        <v>706411018688</v>
      </c>
      <c r="C1207" t="s">
        <v>3872</v>
      </c>
      <c r="D1207" t="s">
        <v>3966</v>
      </c>
      <c r="F1207" t="s">
        <v>135</v>
      </c>
      <c r="G1207">
        <v>1</v>
      </c>
      <c r="H1207">
        <v>1</v>
      </c>
      <c r="I1207" t="s">
        <v>97</v>
      </c>
      <c r="J1207" s="32">
        <v>38.75</v>
      </c>
      <c r="K1207" s="32">
        <v>116.25</v>
      </c>
      <c r="L1207">
        <v>0</v>
      </c>
      <c r="N1207">
        <v>0</v>
      </c>
      <c r="S1207">
        <v>6.75</v>
      </c>
      <c r="U1207">
        <v>13.25</v>
      </c>
      <c r="W1207">
        <v>3.41</v>
      </c>
      <c r="X1207">
        <v>1</v>
      </c>
      <c r="Y1207">
        <v>7</v>
      </c>
      <c r="Z1207">
        <v>15.375</v>
      </c>
      <c r="AA1207">
        <v>15.375</v>
      </c>
      <c r="AB1207">
        <v>0.95799999999999996</v>
      </c>
      <c r="AC1207">
        <v>5.13</v>
      </c>
      <c r="AE1207">
        <v>3</v>
      </c>
      <c r="AG1207">
        <v>60</v>
      </c>
      <c r="AK1207" t="s">
        <v>98</v>
      </c>
      <c r="AM1207" t="s">
        <v>98</v>
      </c>
      <c r="AN1207" t="s">
        <v>98</v>
      </c>
      <c r="AO1207" t="s">
        <v>291</v>
      </c>
      <c r="AP1207" t="s">
        <v>99</v>
      </c>
      <c r="AQ1207" t="s">
        <v>102</v>
      </c>
      <c r="AV1207" t="s">
        <v>98</v>
      </c>
      <c r="AX1207" t="s">
        <v>175</v>
      </c>
      <c r="AZ1207" t="s">
        <v>109</v>
      </c>
      <c r="BB1207" t="s">
        <v>106</v>
      </c>
      <c r="BC1207" t="s">
        <v>3967</v>
      </c>
      <c r="BF1207" t="s">
        <v>3968</v>
      </c>
      <c r="BG1207" t="s">
        <v>98</v>
      </c>
      <c r="BH1207" t="s">
        <v>98</v>
      </c>
      <c r="BI1207" t="s">
        <v>98</v>
      </c>
      <c r="BK1207" t="s">
        <v>138</v>
      </c>
      <c r="CA1207" t="s">
        <v>3965</v>
      </c>
      <c r="CB1207" t="s">
        <v>175</v>
      </c>
      <c r="CL1207" t="s">
        <v>98</v>
      </c>
      <c r="CM1207" t="s">
        <v>98</v>
      </c>
      <c r="CN1207" t="s">
        <v>3870</v>
      </c>
      <c r="CO1207" s="1">
        <v>40459</v>
      </c>
      <c r="CP1207" s="1">
        <v>43595</v>
      </c>
    </row>
    <row r="1208" spans="1:94" x14ac:dyDescent="0.25">
      <c r="A1208" s="4" t="s">
        <v>3969</v>
      </c>
      <c r="B1208" t="str">
        <f xml:space="preserve"> "" &amp; 706411018695</f>
        <v>706411018695</v>
      </c>
      <c r="C1208" t="s">
        <v>3872</v>
      </c>
      <c r="D1208" t="s">
        <v>3970</v>
      </c>
      <c r="F1208" t="s">
        <v>135</v>
      </c>
      <c r="G1208">
        <v>1</v>
      </c>
      <c r="H1208">
        <v>1</v>
      </c>
      <c r="I1208" t="s">
        <v>97</v>
      </c>
      <c r="J1208" s="32">
        <v>38.75</v>
      </c>
      <c r="K1208" s="32">
        <v>116.25</v>
      </c>
      <c r="L1208">
        <v>0</v>
      </c>
      <c r="N1208">
        <v>0</v>
      </c>
      <c r="S1208">
        <v>6.75</v>
      </c>
      <c r="U1208">
        <v>13.25</v>
      </c>
      <c r="W1208">
        <v>3.41</v>
      </c>
      <c r="X1208">
        <v>1</v>
      </c>
      <c r="Y1208">
        <v>7</v>
      </c>
      <c r="Z1208">
        <v>15.375</v>
      </c>
      <c r="AA1208">
        <v>15.375</v>
      </c>
      <c r="AB1208">
        <v>0.95799999999999996</v>
      </c>
      <c r="AC1208">
        <v>5.13</v>
      </c>
      <c r="AE1208">
        <v>3</v>
      </c>
      <c r="AF1208" t="s">
        <v>2350</v>
      </c>
      <c r="AG1208">
        <v>60</v>
      </c>
      <c r="AK1208" t="s">
        <v>98</v>
      </c>
      <c r="AM1208" t="s">
        <v>98</v>
      </c>
      <c r="AN1208" t="s">
        <v>98</v>
      </c>
      <c r="AO1208" t="s">
        <v>291</v>
      </c>
      <c r="AP1208" t="s">
        <v>99</v>
      </c>
      <c r="AQ1208" t="s">
        <v>102</v>
      </c>
      <c r="AV1208" t="s">
        <v>98</v>
      </c>
      <c r="AX1208" t="s">
        <v>175</v>
      </c>
      <c r="AZ1208" t="s">
        <v>109</v>
      </c>
      <c r="BB1208" t="s">
        <v>106</v>
      </c>
      <c r="BC1208" t="s">
        <v>121</v>
      </c>
      <c r="BF1208" t="s">
        <v>3971</v>
      </c>
      <c r="BG1208" t="s">
        <v>98</v>
      </c>
      <c r="BH1208" t="s">
        <v>98</v>
      </c>
      <c r="BI1208" t="s">
        <v>98</v>
      </c>
      <c r="BK1208" t="s">
        <v>138</v>
      </c>
      <c r="CA1208" t="s">
        <v>3969</v>
      </c>
      <c r="CB1208" t="s">
        <v>175</v>
      </c>
      <c r="CL1208" t="s">
        <v>98</v>
      </c>
      <c r="CM1208" t="s">
        <v>98</v>
      </c>
      <c r="CN1208" t="s">
        <v>3870</v>
      </c>
      <c r="CO1208" s="1">
        <v>40459</v>
      </c>
      <c r="CP1208" s="1">
        <v>43595</v>
      </c>
    </row>
    <row r="1209" spans="1:94" x14ac:dyDescent="0.25">
      <c r="A1209" s="4" t="s">
        <v>3972</v>
      </c>
      <c r="B1209" t="str">
        <f xml:space="preserve"> "" &amp; 706411018701</f>
        <v>706411018701</v>
      </c>
      <c r="C1209" t="s">
        <v>3973</v>
      </c>
      <c r="D1209" t="s">
        <v>4507</v>
      </c>
      <c r="F1209" t="s">
        <v>135</v>
      </c>
      <c r="G1209">
        <v>1</v>
      </c>
      <c r="H1209">
        <v>1</v>
      </c>
      <c r="I1209" t="s">
        <v>97</v>
      </c>
      <c r="J1209" s="32">
        <v>38.75</v>
      </c>
      <c r="K1209" s="32">
        <v>116.25</v>
      </c>
      <c r="L1209">
        <v>0</v>
      </c>
      <c r="N1209">
        <v>0</v>
      </c>
      <c r="S1209">
        <v>6.75</v>
      </c>
      <c r="U1209">
        <v>13.25</v>
      </c>
      <c r="W1209">
        <v>3.41</v>
      </c>
      <c r="X1209">
        <v>1</v>
      </c>
      <c r="Y1209">
        <v>7</v>
      </c>
      <c r="Z1209">
        <v>15.375</v>
      </c>
      <c r="AA1209">
        <v>15.375</v>
      </c>
      <c r="AB1209">
        <v>0.95799999999999996</v>
      </c>
      <c r="AC1209">
        <v>5.13</v>
      </c>
      <c r="AE1209">
        <v>3</v>
      </c>
      <c r="AF1209" t="s">
        <v>2846</v>
      </c>
      <c r="AG1209">
        <v>60</v>
      </c>
      <c r="AK1209" t="s">
        <v>98</v>
      </c>
      <c r="AM1209" t="s">
        <v>98</v>
      </c>
      <c r="AN1209" t="s">
        <v>98</v>
      </c>
      <c r="AO1209" t="s">
        <v>291</v>
      </c>
      <c r="AP1209" t="s">
        <v>99</v>
      </c>
      <c r="AQ1209" t="s">
        <v>102</v>
      </c>
      <c r="AV1209" t="s">
        <v>98</v>
      </c>
      <c r="AX1209" t="s">
        <v>175</v>
      </c>
      <c r="AZ1209" t="s">
        <v>109</v>
      </c>
      <c r="BB1209" t="s">
        <v>106</v>
      </c>
      <c r="BC1209" t="s">
        <v>3974</v>
      </c>
      <c r="BF1209" t="s">
        <v>3975</v>
      </c>
      <c r="BG1209" t="s">
        <v>98</v>
      </c>
      <c r="BH1209" t="s">
        <v>98</v>
      </c>
      <c r="BI1209" t="s">
        <v>98</v>
      </c>
      <c r="BK1209" t="s">
        <v>138</v>
      </c>
      <c r="CA1209" t="s">
        <v>3972</v>
      </c>
      <c r="CB1209" t="s">
        <v>175</v>
      </c>
      <c r="CL1209" t="s">
        <v>98</v>
      </c>
      <c r="CM1209" t="s">
        <v>98</v>
      </c>
      <c r="CN1209" t="s">
        <v>3870</v>
      </c>
      <c r="CO1209" s="1">
        <v>40459</v>
      </c>
      <c r="CP1209" s="1">
        <v>43595</v>
      </c>
    </row>
    <row r="1210" spans="1:94" x14ac:dyDescent="0.25">
      <c r="A1210" s="4" t="s">
        <v>3976</v>
      </c>
      <c r="B1210" t="str">
        <f xml:space="preserve"> "" &amp; 706411037566</f>
        <v>706411037566</v>
      </c>
      <c r="C1210" t="s">
        <v>3973</v>
      </c>
      <c r="D1210" t="s">
        <v>3977</v>
      </c>
      <c r="F1210" t="s">
        <v>135</v>
      </c>
      <c r="G1210">
        <v>1</v>
      </c>
      <c r="H1210">
        <v>1</v>
      </c>
      <c r="I1210" t="s">
        <v>97</v>
      </c>
      <c r="J1210" s="32">
        <v>29.95</v>
      </c>
      <c r="K1210" s="32">
        <v>89.85</v>
      </c>
      <c r="L1210">
        <v>0</v>
      </c>
      <c r="N1210">
        <v>0</v>
      </c>
      <c r="S1210">
        <v>5.25</v>
      </c>
      <c r="T1210">
        <v>9.6300000000000008</v>
      </c>
      <c r="U1210">
        <v>9.5</v>
      </c>
      <c r="W1210">
        <v>2.0699999999999998</v>
      </c>
      <c r="X1210">
        <v>1</v>
      </c>
      <c r="Y1210">
        <v>6.75</v>
      </c>
      <c r="Z1210">
        <v>9.6300000000000008</v>
      </c>
      <c r="AA1210">
        <v>9.6300000000000008</v>
      </c>
      <c r="AB1210">
        <v>0.36199999999999999</v>
      </c>
      <c r="AC1210">
        <v>2.98</v>
      </c>
      <c r="AE1210">
        <v>1</v>
      </c>
      <c r="AF1210" t="s">
        <v>3978</v>
      </c>
      <c r="AG1210">
        <v>50</v>
      </c>
      <c r="AK1210" t="s">
        <v>291</v>
      </c>
      <c r="AM1210" t="s">
        <v>98</v>
      </c>
      <c r="AN1210" t="s">
        <v>98</v>
      </c>
      <c r="AO1210" t="s">
        <v>291</v>
      </c>
      <c r="AP1210" t="s">
        <v>99</v>
      </c>
      <c r="AQ1210" t="s">
        <v>102</v>
      </c>
      <c r="AV1210" t="s">
        <v>98</v>
      </c>
      <c r="AX1210" t="s">
        <v>163</v>
      </c>
      <c r="AZ1210" t="s">
        <v>109</v>
      </c>
      <c r="BB1210" t="s">
        <v>106</v>
      </c>
      <c r="BC1210" t="s">
        <v>2152</v>
      </c>
      <c r="BF1210" t="s">
        <v>3979</v>
      </c>
      <c r="BG1210" t="s">
        <v>98</v>
      </c>
      <c r="BH1210" t="s">
        <v>98</v>
      </c>
      <c r="BI1210" t="s">
        <v>98</v>
      </c>
      <c r="BK1210" t="s">
        <v>138</v>
      </c>
      <c r="CA1210" t="s">
        <v>3980</v>
      </c>
      <c r="CB1210" t="s">
        <v>163</v>
      </c>
      <c r="CL1210" t="s">
        <v>98</v>
      </c>
      <c r="CM1210" t="s">
        <v>98</v>
      </c>
      <c r="CN1210" t="s">
        <v>3870</v>
      </c>
      <c r="CO1210" s="1">
        <v>40459</v>
      </c>
      <c r="CP1210" s="1">
        <v>43595</v>
      </c>
    </row>
    <row r="1211" spans="1:94" x14ac:dyDescent="0.25">
      <c r="A1211" s="4" t="s">
        <v>3981</v>
      </c>
      <c r="B1211" t="str">
        <f xml:space="preserve"> "" &amp; 706411037573</f>
        <v>706411037573</v>
      </c>
      <c r="C1211" t="s">
        <v>3973</v>
      </c>
      <c r="D1211" t="s">
        <v>3982</v>
      </c>
      <c r="F1211" t="s">
        <v>135</v>
      </c>
      <c r="G1211">
        <v>1</v>
      </c>
      <c r="H1211">
        <v>1</v>
      </c>
      <c r="I1211" t="s">
        <v>97</v>
      </c>
      <c r="J1211" s="32">
        <v>29.95</v>
      </c>
      <c r="K1211" s="32">
        <v>89.85</v>
      </c>
      <c r="L1211">
        <v>0</v>
      </c>
      <c r="N1211">
        <v>0</v>
      </c>
      <c r="S1211">
        <v>5.25</v>
      </c>
      <c r="T1211">
        <v>9.6300000000000008</v>
      </c>
      <c r="U1211">
        <v>9.5</v>
      </c>
      <c r="W1211">
        <v>2.0699999999999998</v>
      </c>
      <c r="X1211">
        <v>1</v>
      </c>
      <c r="Y1211">
        <v>6.75</v>
      </c>
      <c r="Z1211">
        <v>9.6300000000000008</v>
      </c>
      <c r="AA1211">
        <v>9.6300000000000008</v>
      </c>
      <c r="AB1211">
        <v>0.36199999999999999</v>
      </c>
      <c r="AC1211">
        <v>2.98</v>
      </c>
      <c r="AE1211">
        <v>1</v>
      </c>
      <c r="AF1211" t="s">
        <v>3983</v>
      </c>
      <c r="AG1211">
        <v>50</v>
      </c>
      <c r="AK1211" t="s">
        <v>291</v>
      </c>
      <c r="AM1211" t="s">
        <v>98</v>
      </c>
      <c r="AN1211" t="s">
        <v>98</v>
      </c>
      <c r="AO1211" t="s">
        <v>291</v>
      </c>
      <c r="AP1211" t="s">
        <v>99</v>
      </c>
      <c r="AQ1211" t="s">
        <v>102</v>
      </c>
      <c r="AV1211" t="s">
        <v>98</v>
      </c>
      <c r="AX1211" t="s">
        <v>245</v>
      </c>
      <c r="AZ1211" t="s">
        <v>109</v>
      </c>
      <c r="BB1211" t="s">
        <v>106</v>
      </c>
      <c r="BC1211" t="s">
        <v>2152</v>
      </c>
      <c r="BF1211" t="s">
        <v>3984</v>
      </c>
      <c r="BG1211" t="s">
        <v>98</v>
      </c>
      <c r="BH1211" t="s">
        <v>98</v>
      </c>
      <c r="BI1211" t="s">
        <v>98</v>
      </c>
      <c r="BK1211" t="s">
        <v>138</v>
      </c>
      <c r="CA1211" t="s">
        <v>3980</v>
      </c>
      <c r="CB1211" t="s">
        <v>245</v>
      </c>
      <c r="CL1211" t="s">
        <v>98</v>
      </c>
      <c r="CM1211" t="s">
        <v>98</v>
      </c>
      <c r="CN1211" t="s">
        <v>3985</v>
      </c>
      <c r="CO1211" s="1">
        <v>40459</v>
      </c>
      <c r="CP1211" s="1">
        <v>43595</v>
      </c>
    </row>
    <row r="1212" spans="1:94" x14ac:dyDescent="0.25">
      <c r="A1212" s="4" t="s">
        <v>3986</v>
      </c>
      <c r="B1212" t="str">
        <f xml:space="preserve"> "" &amp; 706411037580</f>
        <v>706411037580</v>
      </c>
      <c r="C1212" t="s">
        <v>3973</v>
      </c>
      <c r="D1212" t="s">
        <v>3987</v>
      </c>
      <c r="F1212" t="s">
        <v>135</v>
      </c>
      <c r="G1212">
        <v>1</v>
      </c>
      <c r="H1212">
        <v>1</v>
      </c>
      <c r="I1212" t="s">
        <v>97</v>
      </c>
      <c r="J1212" s="32">
        <v>29.95</v>
      </c>
      <c r="K1212" s="32">
        <v>89.85</v>
      </c>
      <c r="L1212">
        <v>0</v>
      </c>
      <c r="N1212">
        <v>0</v>
      </c>
      <c r="S1212">
        <v>5.25</v>
      </c>
      <c r="T1212">
        <v>9.6300000000000008</v>
      </c>
      <c r="U1212">
        <v>9.5</v>
      </c>
      <c r="W1212">
        <v>2.0699999999999998</v>
      </c>
      <c r="X1212">
        <v>1</v>
      </c>
      <c r="Y1212">
        <v>6.75</v>
      </c>
      <c r="Z1212">
        <v>9.6300000000000008</v>
      </c>
      <c r="AA1212">
        <v>9.6300000000000008</v>
      </c>
      <c r="AB1212">
        <v>0.36199999999999999</v>
      </c>
      <c r="AC1212">
        <v>2.98</v>
      </c>
      <c r="AE1212">
        <v>1</v>
      </c>
      <c r="AF1212" t="s">
        <v>3983</v>
      </c>
      <c r="AG1212">
        <v>50</v>
      </c>
      <c r="AK1212" t="s">
        <v>98</v>
      </c>
      <c r="AM1212" t="s">
        <v>98</v>
      </c>
      <c r="AN1212" t="s">
        <v>98</v>
      </c>
      <c r="AO1212" t="s">
        <v>291</v>
      </c>
      <c r="AP1212" t="s">
        <v>99</v>
      </c>
      <c r="AQ1212" t="s">
        <v>102</v>
      </c>
      <c r="AV1212" t="s">
        <v>98</v>
      </c>
      <c r="AX1212" t="s">
        <v>302</v>
      </c>
      <c r="AZ1212" t="s">
        <v>109</v>
      </c>
      <c r="BF1212" t="s">
        <v>3988</v>
      </c>
      <c r="BG1212" t="s">
        <v>98</v>
      </c>
      <c r="BH1212" t="s">
        <v>98</v>
      </c>
      <c r="BI1212" t="s">
        <v>98</v>
      </c>
      <c r="BK1212" t="s">
        <v>138</v>
      </c>
      <c r="CA1212" t="s">
        <v>3980</v>
      </c>
      <c r="CB1212" t="s">
        <v>302</v>
      </c>
      <c r="CL1212" t="s">
        <v>98</v>
      </c>
      <c r="CM1212" t="s">
        <v>98</v>
      </c>
      <c r="CN1212" t="s">
        <v>3985</v>
      </c>
      <c r="CO1212" s="1">
        <v>40459</v>
      </c>
      <c r="CP1212" s="1">
        <v>43595</v>
      </c>
    </row>
    <row r="1213" spans="1:94" x14ac:dyDescent="0.25">
      <c r="A1213" s="4" t="s">
        <v>3989</v>
      </c>
      <c r="B1213" t="str">
        <f xml:space="preserve"> "" &amp; 706411037597</f>
        <v>706411037597</v>
      </c>
      <c r="C1213" t="s">
        <v>3973</v>
      </c>
      <c r="D1213" t="s">
        <v>3990</v>
      </c>
      <c r="F1213" t="s">
        <v>135</v>
      </c>
      <c r="G1213">
        <v>1</v>
      </c>
      <c r="H1213">
        <v>1</v>
      </c>
      <c r="I1213" t="s">
        <v>97</v>
      </c>
      <c r="J1213" s="32">
        <v>29.95</v>
      </c>
      <c r="K1213" s="32">
        <v>89.85</v>
      </c>
      <c r="L1213">
        <v>0</v>
      </c>
      <c r="N1213">
        <v>0</v>
      </c>
      <c r="S1213">
        <v>5.25</v>
      </c>
      <c r="T1213">
        <v>10.5</v>
      </c>
      <c r="U1213">
        <v>10.5</v>
      </c>
      <c r="W1213">
        <v>2.25</v>
      </c>
      <c r="X1213">
        <v>1</v>
      </c>
      <c r="Y1213">
        <v>8.5</v>
      </c>
      <c r="Z1213">
        <v>10.88</v>
      </c>
      <c r="AA1213">
        <v>10.88</v>
      </c>
      <c r="AB1213">
        <v>0.58199999999999996</v>
      </c>
      <c r="AC1213">
        <v>3.33</v>
      </c>
      <c r="AE1213">
        <v>1</v>
      </c>
      <c r="AF1213" t="s">
        <v>3991</v>
      </c>
      <c r="AG1213">
        <v>50</v>
      </c>
      <c r="AK1213" t="s">
        <v>291</v>
      </c>
      <c r="AM1213" t="s">
        <v>98</v>
      </c>
      <c r="AN1213" t="s">
        <v>98</v>
      </c>
      <c r="AO1213" t="s">
        <v>291</v>
      </c>
      <c r="AP1213" t="s">
        <v>99</v>
      </c>
      <c r="AQ1213" t="s">
        <v>102</v>
      </c>
      <c r="AV1213" t="s">
        <v>98</v>
      </c>
      <c r="AX1213" t="s">
        <v>163</v>
      </c>
      <c r="AZ1213" t="s">
        <v>109</v>
      </c>
      <c r="BB1213" t="s">
        <v>106</v>
      </c>
      <c r="BC1213" t="s">
        <v>2152</v>
      </c>
      <c r="BF1213" t="s">
        <v>3992</v>
      </c>
      <c r="BG1213" t="s">
        <v>98</v>
      </c>
      <c r="BH1213" t="s">
        <v>98</v>
      </c>
      <c r="BI1213" t="s">
        <v>98</v>
      </c>
      <c r="BK1213" t="s">
        <v>138</v>
      </c>
      <c r="CA1213" t="s">
        <v>3993</v>
      </c>
      <c r="CB1213" t="s">
        <v>163</v>
      </c>
      <c r="CL1213" t="s">
        <v>98</v>
      </c>
      <c r="CM1213" t="s">
        <v>98</v>
      </c>
      <c r="CN1213" t="s">
        <v>3870</v>
      </c>
      <c r="CO1213" s="1">
        <v>39823</v>
      </c>
      <c r="CP1213" s="1">
        <v>43595</v>
      </c>
    </row>
    <row r="1214" spans="1:94" x14ac:dyDescent="0.25">
      <c r="A1214" s="4" t="s">
        <v>3994</v>
      </c>
      <c r="B1214" t="str">
        <f xml:space="preserve"> "" &amp; 706411037610</f>
        <v>706411037610</v>
      </c>
      <c r="C1214" t="s">
        <v>3973</v>
      </c>
      <c r="D1214" t="s">
        <v>3995</v>
      </c>
      <c r="F1214" t="s">
        <v>135</v>
      </c>
      <c r="G1214">
        <v>1</v>
      </c>
      <c r="H1214">
        <v>1</v>
      </c>
      <c r="I1214" t="s">
        <v>97</v>
      </c>
      <c r="J1214" s="32">
        <v>29.95</v>
      </c>
      <c r="K1214" s="32">
        <v>89.85</v>
      </c>
      <c r="L1214">
        <v>0</v>
      </c>
      <c r="N1214">
        <v>0</v>
      </c>
      <c r="S1214">
        <v>4.75</v>
      </c>
      <c r="T1214">
        <v>10.25</v>
      </c>
      <c r="U1214">
        <v>10.25</v>
      </c>
      <c r="W1214">
        <v>2.25</v>
      </c>
      <c r="X1214">
        <v>1</v>
      </c>
      <c r="Y1214">
        <v>8.5</v>
      </c>
      <c r="Z1214">
        <v>10.88</v>
      </c>
      <c r="AA1214">
        <v>10.88</v>
      </c>
      <c r="AB1214">
        <v>0.58199999999999996</v>
      </c>
      <c r="AC1214">
        <v>3.33</v>
      </c>
      <c r="AE1214">
        <v>1</v>
      </c>
      <c r="AF1214" t="s">
        <v>3996</v>
      </c>
      <c r="AG1214">
        <v>50</v>
      </c>
      <c r="AK1214" t="s">
        <v>291</v>
      </c>
      <c r="AM1214" t="s">
        <v>98</v>
      </c>
      <c r="AN1214" t="s">
        <v>98</v>
      </c>
      <c r="AO1214" t="s">
        <v>291</v>
      </c>
      <c r="AP1214" t="s">
        <v>99</v>
      </c>
      <c r="AQ1214" t="s">
        <v>102</v>
      </c>
      <c r="AV1214" t="s">
        <v>98</v>
      </c>
      <c r="AX1214" t="s">
        <v>302</v>
      </c>
      <c r="AZ1214" t="s">
        <v>109</v>
      </c>
      <c r="BB1214" t="s">
        <v>106</v>
      </c>
      <c r="BC1214" t="s">
        <v>2152</v>
      </c>
      <c r="BF1214" t="s">
        <v>3997</v>
      </c>
      <c r="BG1214" t="s">
        <v>98</v>
      </c>
      <c r="BH1214" t="s">
        <v>98</v>
      </c>
      <c r="BI1214" t="s">
        <v>98</v>
      </c>
      <c r="BK1214" t="s">
        <v>138</v>
      </c>
      <c r="CA1214" t="s">
        <v>3993</v>
      </c>
      <c r="CB1214" t="s">
        <v>302</v>
      </c>
      <c r="CL1214" t="s">
        <v>98</v>
      </c>
      <c r="CM1214" t="s">
        <v>98</v>
      </c>
      <c r="CN1214" t="s">
        <v>3870</v>
      </c>
      <c r="CO1214" s="1">
        <v>39823</v>
      </c>
      <c r="CP1214" s="1">
        <v>43595</v>
      </c>
    </row>
    <row r="1215" spans="1:94" x14ac:dyDescent="0.25">
      <c r="A1215" s="4" t="s">
        <v>3998</v>
      </c>
      <c r="B1215" t="str">
        <f xml:space="preserve"> "" &amp; 706411037641</f>
        <v>706411037641</v>
      </c>
      <c r="C1215" t="s">
        <v>3973</v>
      </c>
      <c r="D1215" t="s">
        <v>3999</v>
      </c>
      <c r="F1215" t="s">
        <v>135</v>
      </c>
      <c r="G1215">
        <v>1</v>
      </c>
      <c r="H1215">
        <v>1</v>
      </c>
      <c r="I1215" t="s">
        <v>97</v>
      </c>
      <c r="J1215" s="32">
        <v>29.95</v>
      </c>
      <c r="K1215" s="32">
        <v>89.85</v>
      </c>
      <c r="L1215">
        <v>0</v>
      </c>
      <c r="N1215">
        <v>0</v>
      </c>
      <c r="S1215">
        <v>5</v>
      </c>
      <c r="T1215">
        <v>11.25</v>
      </c>
      <c r="U1215">
        <v>11.25</v>
      </c>
      <c r="W1215">
        <v>3.15</v>
      </c>
      <c r="X1215">
        <v>1</v>
      </c>
      <c r="Y1215">
        <v>8.5</v>
      </c>
      <c r="Z1215">
        <v>11.75</v>
      </c>
      <c r="AA1215">
        <v>12</v>
      </c>
      <c r="AB1215">
        <v>0.69399999999999995</v>
      </c>
      <c r="AC1215">
        <v>3.97</v>
      </c>
      <c r="AE1215">
        <v>1</v>
      </c>
      <c r="AF1215" t="s">
        <v>3983</v>
      </c>
      <c r="AG1215">
        <v>50</v>
      </c>
      <c r="AK1215" t="s">
        <v>291</v>
      </c>
      <c r="AM1215" t="s">
        <v>98</v>
      </c>
      <c r="AN1215" t="s">
        <v>98</v>
      </c>
      <c r="AO1215" t="s">
        <v>291</v>
      </c>
      <c r="AP1215" t="s">
        <v>99</v>
      </c>
      <c r="AQ1215" t="s">
        <v>102</v>
      </c>
      <c r="AV1215" t="s">
        <v>98</v>
      </c>
      <c r="AX1215" t="s">
        <v>163</v>
      </c>
      <c r="AZ1215" t="s">
        <v>535</v>
      </c>
      <c r="BB1215" t="s">
        <v>106</v>
      </c>
      <c r="BC1215" t="s">
        <v>2152</v>
      </c>
      <c r="BF1215" t="s">
        <v>4000</v>
      </c>
      <c r="BG1215" t="s">
        <v>98</v>
      </c>
      <c r="BH1215" t="s">
        <v>98</v>
      </c>
      <c r="BI1215" t="s">
        <v>98</v>
      </c>
      <c r="BK1215" t="s">
        <v>138</v>
      </c>
      <c r="CA1215" t="s">
        <v>4001</v>
      </c>
      <c r="CB1215" t="s">
        <v>163</v>
      </c>
      <c r="CL1215" t="s">
        <v>291</v>
      </c>
      <c r="CM1215" t="s">
        <v>98</v>
      </c>
      <c r="CN1215" t="s">
        <v>3870</v>
      </c>
      <c r="CO1215" s="1">
        <v>40188</v>
      </c>
      <c r="CP1215" s="1">
        <v>43595</v>
      </c>
    </row>
    <row r="1216" spans="1:94" x14ac:dyDescent="0.25">
      <c r="A1216" s="4" t="s">
        <v>4002</v>
      </c>
      <c r="B1216" t="str">
        <f xml:space="preserve"> "" &amp; 706411045714</f>
        <v>706411045714</v>
      </c>
      <c r="C1216" t="s">
        <v>3973</v>
      </c>
      <c r="D1216" t="s">
        <v>4003</v>
      </c>
      <c r="F1216" t="s">
        <v>135</v>
      </c>
      <c r="G1216">
        <v>1</v>
      </c>
      <c r="H1216">
        <v>1</v>
      </c>
      <c r="I1216" t="s">
        <v>97</v>
      </c>
      <c r="J1216" s="32">
        <v>29.95</v>
      </c>
      <c r="K1216" s="32">
        <v>89.85</v>
      </c>
      <c r="L1216">
        <v>0</v>
      </c>
      <c r="N1216">
        <v>0</v>
      </c>
      <c r="S1216">
        <v>5</v>
      </c>
      <c r="T1216">
        <v>11.25</v>
      </c>
      <c r="U1216">
        <v>11.25</v>
      </c>
      <c r="W1216">
        <v>3.15</v>
      </c>
      <c r="X1216">
        <v>1</v>
      </c>
      <c r="Y1216">
        <v>8.5</v>
      </c>
      <c r="Z1216">
        <v>11.75</v>
      </c>
      <c r="AA1216">
        <v>12</v>
      </c>
      <c r="AB1216">
        <v>0.69399999999999995</v>
      </c>
      <c r="AC1216">
        <v>3.97</v>
      </c>
      <c r="AE1216">
        <v>1</v>
      </c>
      <c r="AF1216" t="s">
        <v>4004</v>
      </c>
      <c r="AG1216">
        <v>50</v>
      </c>
      <c r="AK1216" t="s">
        <v>291</v>
      </c>
      <c r="AM1216" t="s">
        <v>98</v>
      </c>
      <c r="AN1216" t="s">
        <v>98</v>
      </c>
      <c r="AO1216" t="s">
        <v>291</v>
      </c>
      <c r="AP1216" t="s">
        <v>99</v>
      </c>
      <c r="AQ1216" t="s">
        <v>102</v>
      </c>
      <c r="AV1216" t="s">
        <v>98</v>
      </c>
      <c r="AX1216" t="s">
        <v>167</v>
      </c>
      <c r="AZ1216" t="s">
        <v>535</v>
      </c>
      <c r="BB1216" t="s">
        <v>106</v>
      </c>
      <c r="BC1216" t="s">
        <v>167</v>
      </c>
      <c r="BF1216" t="s">
        <v>4005</v>
      </c>
      <c r="BG1216" t="s">
        <v>98</v>
      </c>
      <c r="BH1216" t="s">
        <v>98</v>
      </c>
      <c r="BI1216" t="s">
        <v>98</v>
      </c>
      <c r="BK1216" t="s">
        <v>138</v>
      </c>
      <c r="CA1216" t="s">
        <v>4001</v>
      </c>
      <c r="CB1216" t="s">
        <v>167</v>
      </c>
      <c r="CL1216" t="s">
        <v>98</v>
      </c>
      <c r="CM1216" t="s">
        <v>98</v>
      </c>
      <c r="CN1216" t="s">
        <v>3985</v>
      </c>
      <c r="CO1216" s="1">
        <v>41599</v>
      </c>
      <c r="CP1216" s="1">
        <v>43595</v>
      </c>
    </row>
    <row r="1217" spans="1:94" x14ac:dyDescent="0.25">
      <c r="A1217" s="4" t="s">
        <v>4006</v>
      </c>
      <c r="B1217" t="str">
        <f xml:space="preserve"> "" &amp; 706411037665</f>
        <v>706411037665</v>
      </c>
      <c r="C1217" t="s">
        <v>3973</v>
      </c>
      <c r="D1217" t="s">
        <v>4007</v>
      </c>
      <c r="F1217" t="s">
        <v>135</v>
      </c>
      <c r="G1217">
        <v>1</v>
      </c>
      <c r="H1217">
        <v>1</v>
      </c>
      <c r="I1217" t="s">
        <v>97</v>
      </c>
      <c r="J1217" s="32">
        <v>29.95</v>
      </c>
      <c r="K1217" s="32">
        <v>89.85</v>
      </c>
      <c r="L1217">
        <v>0</v>
      </c>
      <c r="N1217">
        <v>0</v>
      </c>
      <c r="S1217">
        <v>5</v>
      </c>
      <c r="T1217">
        <v>11.25</v>
      </c>
      <c r="U1217">
        <v>11.25</v>
      </c>
      <c r="W1217">
        <v>3.15</v>
      </c>
      <c r="X1217">
        <v>1</v>
      </c>
      <c r="Y1217">
        <v>8.5</v>
      </c>
      <c r="Z1217">
        <v>11.75</v>
      </c>
      <c r="AA1217">
        <v>12</v>
      </c>
      <c r="AB1217">
        <v>0.69399999999999995</v>
      </c>
      <c r="AC1217">
        <v>3.97</v>
      </c>
      <c r="AE1217">
        <v>1</v>
      </c>
      <c r="AF1217" t="s">
        <v>4008</v>
      </c>
      <c r="AG1217">
        <v>50</v>
      </c>
      <c r="AK1217" t="s">
        <v>291</v>
      </c>
      <c r="AM1217" t="s">
        <v>98</v>
      </c>
      <c r="AN1217" t="s">
        <v>98</v>
      </c>
      <c r="AO1217" t="s">
        <v>291</v>
      </c>
      <c r="AP1217" t="s">
        <v>99</v>
      </c>
      <c r="AQ1217" t="s">
        <v>102</v>
      </c>
      <c r="AV1217" t="s">
        <v>98</v>
      </c>
      <c r="AX1217" t="s">
        <v>245</v>
      </c>
      <c r="AZ1217" t="s">
        <v>535</v>
      </c>
      <c r="BB1217" t="s">
        <v>106</v>
      </c>
      <c r="BC1217" t="s">
        <v>2152</v>
      </c>
      <c r="BF1217" t="s">
        <v>4009</v>
      </c>
      <c r="BG1217" t="s">
        <v>98</v>
      </c>
      <c r="BH1217" t="s">
        <v>98</v>
      </c>
      <c r="BI1217" t="s">
        <v>98</v>
      </c>
      <c r="BK1217" t="s">
        <v>138</v>
      </c>
      <c r="CA1217" t="s">
        <v>4001</v>
      </c>
      <c r="CB1217" t="s">
        <v>245</v>
      </c>
      <c r="CL1217" t="s">
        <v>98</v>
      </c>
      <c r="CM1217" t="s">
        <v>98</v>
      </c>
      <c r="CN1217" t="s">
        <v>3870</v>
      </c>
      <c r="CO1217" s="1">
        <v>40459</v>
      </c>
      <c r="CP1217" s="1">
        <v>43595</v>
      </c>
    </row>
    <row r="1218" spans="1:94" x14ac:dyDescent="0.25">
      <c r="A1218" s="4" t="s">
        <v>4010</v>
      </c>
      <c r="B1218" t="str">
        <f xml:space="preserve"> "" &amp; 706411037696</f>
        <v>706411037696</v>
      </c>
      <c r="C1218" t="s">
        <v>3973</v>
      </c>
      <c r="D1218" t="s">
        <v>4011</v>
      </c>
      <c r="F1218" t="s">
        <v>135</v>
      </c>
      <c r="G1218">
        <v>1</v>
      </c>
      <c r="H1218">
        <v>1</v>
      </c>
      <c r="I1218" t="s">
        <v>97</v>
      </c>
      <c r="J1218" s="32">
        <v>29.95</v>
      </c>
      <c r="K1218" s="32">
        <v>89.85</v>
      </c>
      <c r="L1218">
        <v>0</v>
      </c>
      <c r="N1218">
        <v>0</v>
      </c>
      <c r="S1218">
        <v>5</v>
      </c>
      <c r="T1218">
        <v>11.25</v>
      </c>
      <c r="U1218">
        <v>11.25</v>
      </c>
      <c r="W1218">
        <v>3.15</v>
      </c>
      <c r="X1218">
        <v>1</v>
      </c>
      <c r="Y1218">
        <v>8.5</v>
      </c>
      <c r="Z1218">
        <v>11.75</v>
      </c>
      <c r="AA1218">
        <v>12</v>
      </c>
      <c r="AB1218">
        <v>0.69399999999999995</v>
      </c>
      <c r="AC1218">
        <v>3.97</v>
      </c>
      <c r="AE1218">
        <v>1</v>
      </c>
      <c r="AF1218" t="s">
        <v>4008</v>
      </c>
      <c r="AG1218">
        <v>50</v>
      </c>
      <c r="AK1218" t="s">
        <v>291</v>
      </c>
      <c r="AM1218" t="s">
        <v>98</v>
      </c>
      <c r="AN1218" t="s">
        <v>98</v>
      </c>
      <c r="AO1218" t="s">
        <v>291</v>
      </c>
      <c r="AP1218" t="s">
        <v>99</v>
      </c>
      <c r="AQ1218" t="s">
        <v>102</v>
      </c>
      <c r="AV1218" t="s">
        <v>98</v>
      </c>
      <c r="AX1218" t="s">
        <v>302</v>
      </c>
      <c r="AZ1218" t="s">
        <v>535</v>
      </c>
      <c r="BB1218" t="s">
        <v>106</v>
      </c>
      <c r="BC1218" t="s">
        <v>2152</v>
      </c>
      <c r="BF1218" t="s">
        <v>4012</v>
      </c>
      <c r="BG1218" t="s">
        <v>98</v>
      </c>
      <c r="BH1218" t="s">
        <v>98</v>
      </c>
      <c r="BI1218" t="s">
        <v>98</v>
      </c>
      <c r="BK1218" t="s">
        <v>138</v>
      </c>
      <c r="CA1218" t="s">
        <v>4001</v>
      </c>
      <c r="CB1218" t="s">
        <v>302</v>
      </c>
      <c r="CL1218" t="s">
        <v>98</v>
      </c>
      <c r="CM1218" t="s">
        <v>98</v>
      </c>
      <c r="CN1218" t="s">
        <v>3870</v>
      </c>
      <c r="CO1218" s="1">
        <v>40459</v>
      </c>
      <c r="CP1218" s="1">
        <v>43595</v>
      </c>
    </row>
    <row r="1219" spans="1:94" x14ac:dyDescent="0.25">
      <c r="A1219" s="4" t="s">
        <v>4013</v>
      </c>
      <c r="B1219" t="str">
        <f xml:space="preserve"> "" &amp; 706411029769</f>
        <v>706411029769</v>
      </c>
      <c r="C1219" t="s">
        <v>3872</v>
      </c>
      <c r="D1219" t="s">
        <v>4014</v>
      </c>
      <c r="F1219" t="s">
        <v>135</v>
      </c>
      <c r="G1219">
        <v>1</v>
      </c>
      <c r="H1219">
        <v>1</v>
      </c>
      <c r="I1219" t="s">
        <v>97</v>
      </c>
      <c r="J1219" s="32">
        <v>37.950000000000003</v>
      </c>
      <c r="K1219" s="32">
        <v>113.85</v>
      </c>
      <c r="L1219">
        <v>0</v>
      </c>
      <c r="N1219">
        <v>0</v>
      </c>
      <c r="S1219">
        <v>7.5</v>
      </c>
      <c r="U1219">
        <v>16</v>
      </c>
      <c r="W1219">
        <v>4.72</v>
      </c>
      <c r="X1219">
        <v>1</v>
      </c>
      <c r="AB1219">
        <v>1.569</v>
      </c>
      <c r="AC1219">
        <v>7.02</v>
      </c>
      <c r="AE1219">
        <v>3</v>
      </c>
      <c r="AF1219" t="s">
        <v>2350</v>
      </c>
      <c r="AG1219">
        <v>60</v>
      </c>
      <c r="AK1219" t="s">
        <v>98</v>
      </c>
      <c r="AM1219" t="s">
        <v>98</v>
      </c>
      <c r="AN1219" t="s">
        <v>98</v>
      </c>
      <c r="AO1219" t="s">
        <v>291</v>
      </c>
      <c r="AP1219" t="s">
        <v>99</v>
      </c>
      <c r="AQ1219" t="s">
        <v>102</v>
      </c>
      <c r="AV1219" t="s">
        <v>98</v>
      </c>
      <c r="AX1219" t="s">
        <v>302</v>
      </c>
      <c r="AZ1219" t="s">
        <v>109</v>
      </c>
      <c r="BB1219" t="s">
        <v>106</v>
      </c>
      <c r="BC1219" t="s">
        <v>118</v>
      </c>
      <c r="BF1219" t="s">
        <v>4015</v>
      </c>
      <c r="BG1219" t="s">
        <v>98</v>
      </c>
      <c r="BH1219" t="s">
        <v>98</v>
      </c>
      <c r="BI1219" t="s">
        <v>98</v>
      </c>
      <c r="BK1219" t="s">
        <v>138</v>
      </c>
      <c r="CA1219" t="s">
        <v>4013</v>
      </c>
      <c r="CB1219" t="s">
        <v>302</v>
      </c>
      <c r="CL1219" t="s">
        <v>98</v>
      </c>
      <c r="CM1219" t="s">
        <v>98</v>
      </c>
      <c r="CN1219" t="s">
        <v>3870</v>
      </c>
      <c r="CO1219" s="1">
        <v>40459</v>
      </c>
      <c r="CP1219" s="1">
        <v>43595</v>
      </c>
    </row>
    <row r="1220" spans="1:94" x14ac:dyDescent="0.25">
      <c r="A1220" s="4" t="s">
        <v>4016</v>
      </c>
      <c r="B1220" t="str">
        <f xml:space="preserve"> "" &amp; 706411037870</f>
        <v>706411037870</v>
      </c>
      <c r="C1220" t="s">
        <v>4017</v>
      </c>
      <c r="D1220" t="s">
        <v>4018</v>
      </c>
      <c r="F1220" t="s">
        <v>135</v>
      </c>
      <c r="G1220">
        <v>1</v>
      </c>
      <c r="H1220">
        <v>1</v>
      </c>
      <c r="I1220" t="s">
        <v>97</v>
      </c>
      <c r="J1220" s="32">
        <v>31.95</v>
      </c>
      <c r="K1220" s="32">
        <v>95.85</v>
      </c>
      <c r="L1220">
        <v>0</v>
      </c>
      <c r="N1220">
        <v>0</v>
      </c>
      <c r="S1220">
        <v>5.5</v>
      </c>
      <c r="T1220">
        <v>11.5</v>
      </c>
      <c r="U1220">
        <v>11.5</v>
      </c>
      <c r="W1220">
        <v>3.2</v>
      </c>
      <c r="X1220">
        <v>1</v>
      </c>
      <c r="Y1220">
        <v>6.75</v>
      </c>
      <c r="Z1220">
        <v>12.88</v>
      </c>
      <c r="AA1220">
        <v>12.88</v>
      </c>
      <c r="AB1220">
        <v>0.64800000000000002</v>
      </c>
      <c r="AC1220">
        <v>4.3</v>
      </c>
      <c r="AE1220">
        <v>2</v>
      </c>
      <c r="AF1220" t="s">
        <v>4019</v>
      </c>
      <c r="AG1220">
        <v>13</v>
      </c>
      <c r="AK1220" t="s">
        <v>291</v>
      </c>
      <c r="AM1220" t="s">
        <v>98</v>
      </c>
      <c r="AN1220" t="s">
        <v>291</v>
      </c>
      <c r="AO1220" t="s">
        <v>98</v>
      </c>
      <c r="AP1220" t="s">
        <v>99</v>
      </c>
      <c r="AQ1220" t="s">
        <v>102</v>
      </c>
      <c r="AV1220" t="s">
        <v>98</v>
      </c>
      <c r="AX1220" t="s">
        <v>302</v>
      </c>
      <c r="AZ1220" t="s">
        <v>109</v>
      </c>
      <c r="BB1220" t="s">
        <v>106</v>
      </c>
      <c r="BC1220" t="s">
        <v>4020</v>
      </c>
      <c r="BF1220" t="s">
        <v>4021</v>
      </c>
      <c r="BG1220" t="s">
        <v>98</v>
      </c>
      <c r="BH1220" t="s">
        <v>98</v>
      </c>
      <c r="BI1220" t="s">
        <v>98</v>
      </c>
      <c r="BK1220" t="s">
        <v>138</v>
      </c>
      <c r="CA1220" t="s">
        <v>4016</v>
      </c>
      <c r="CB1220" t="s">
        <v>302</v>
      </c>
      <c r="CL1220" t="s">
        <v>98</v>
      </c>
      <c r="CM1220" t="s">
        <v>98</v>
      </c>
      <c r="CN1220" t="s">
        <v>4022</v>
      </c>
      <c r="CO1220" s="1">
        <v>40459</v>
      </c>
      <c r="CP1220" s="1">
        <v>43595</v>
      </c>
    </row>
    <row r="1221" spans="1:94" x14ac:dyDescent="0.25">
      <c r="A1221" s="4" t="s">
        <v>4023</v>
      </c>
      <c r="B1221" t="str">
        <f xml:space="preserve"> "" &amp; 706411037887</f>
        <v>706411037887</v>
      </c>
      <c r="C1221" t="s">
        <v>4017</v>
      </c>
      <c r="D1221" t="s">
        <v>4024</v>
      </c>
      <c r="F1221" t="s">
        <v>135</v>
      </c>
      <c r="G1221">
        <v>1</v>
      </c>
      <c r="H1221">
        <v>1</v>
      </c>
      <c r="I1221" t="s">
        <v>97</v>
      </c>
      <c r="J1221" s="32">
        <v>31.95</v>
      </c>
      <c r="K1221" s="32">
        <v>95.85</v>
      </c>
      <c r="L1221">
        <v>0</v>
      </c>
      <c r="N1221">
        <v>0</v>
      </c>
      <c r="S1221">
        <v>5.5</v>
      </c>
      <c r="T1221">
        <v>12.88</v>
      </c>
      <c r="U1221">
        <v>11.5</v>
      </c>
      <c r="W1221">
        <v>3.2</v>
      </c>
      <c r="X1221">
        <v>1</v>
      </c>
      <c r="Y1221">
        <v>6.75</v>
      </c>
      <c r="Z1221">
        <v>12.88</v>
      </c>
      <c r="AA1221">
        <v>12.88</v>
      </c>
      <c r="AB1221">
        <v>0.64800000000000002</v>
      </c>
      <c r="AC1221">
        <v>4.3</v>
      </c>
      <c r="AE1221">
        <v>2</v>
      </c>
      <c r="AF1221" t="s">
        <v>4019</v>
      </c>
      <c r="AG1221">
        <v>12</v>
      </c>
      <c r="AK1221" t="s">
        <v>291</v>
      </c>
      <c r="AM1221" t="s">
        <v>98</v>
      </c>
      <c r="AN1221" t="s">
        <v>291</v>
      </c>
      <c r="AO1221" t="s">
        <v>98</v>
      </c>
      <c r="AP1221" t="s">
        <v>99</v>
      </c>
      <c r="AQ1221" t="s">
        <v>102</v>
      </c>
      <c r="AV1221" t="s">
        <v>98</v>
      </c>
      <c r="AX1221" t="s">
        <v>302</v>
      </c>
      <c r="AZ1221" t="s">
        <v>109</v>
      </c>
      <c r="BB1221" t="s">
        <v>106</v>
      </c>
      <c r="BC1221" t="s">
        <v>118</v>
      </c>
      <c r="BF1221" t="s">
        <v>4025</v>
      </c>
      <c r="BG1221" t="s">
        <v>98</v>
      </c>
      <c r="BH1221" t="s">
        <v>98</v>
      </c>
      <c r="BI1221" t="s">
        <v>98</v>
      </c>
      <c r="BK1221" t="s">
        <v>138</v>
      </c>
      <c r="CA1221" t="s">
        <v>4023</v>
      </c>
      <c r="CB1221" t="s">
        <v>302</v>
      </c>
      <c r="CL1221" t="s">
        <v>98</v>
      </c>
      <c r="CM1221" t="s">
        <v>98</v>
      </c>
      <c r="CN1221" t="s">
        <v>3870</v>
      </c>
      <c r="CO1221" s="1">
        <v>40459</v>
      </c>
      <c r="CP1221" s="1">
        <v>43595</v>
      </c>
    </row>
    <row r="1222" spans="1:94" x14ac:dyDescent="0.25">
      <c r="A1222" s="4" t="s">
        <v>4026</v>
      </c>
      <c r="B1222" t="str">
        <f xml:space="preserve"> "" &amp; 706411045721</f>
        <v>706411045721</v>
      </c>
      <c r="C1222" t="s">
        <v>4017</v>
      </c>
      <c r="D1222" t="s">
        <v>4027</v>
      </c>
      <c r="F1222" t="s">
        <v>135</v>
      </c>
      <c r="G1222">
        <v>1</v>
      </c>
      <c r="H1222">
        <v>1</v>
      </c>
      <c r="I1222" t="s">
        <v>97</v>
      </c>
      <c r="J1222" s="32">
        <v>29.95</v>
      </c>
      <c r="K1222" s="32">
        <v>89.85</v>
      </c>
      <c r="L1222">
        <v>0</v>
      </c>
      <c r="N1222">
        <v>0</v>
      </c>
      <c r="S1222">
        <v>5.5</v>
      </c>
      <c r="T1222">
        <v>10.5</v>
      </c>
      <c r="U1222">
        <v>10.5</v>
      </c>
      <c r="W1222">
        <v>3.13</v>
      </c>
      <c r="X1222">
        <v>1</v>
      </c>
      <c r="Y1222">
        <v>9.25</v>
      </c>
      <c r="Z1222">
        <v>12</v>
      </c>
      <c r="AA1222">
        <v>12</v>
      </c>
      <c r="AB1222">
        <v>0.77100000000000002</v>
      </c>
      <c r="AC1222">
        <v>4.0999999999999996</v>
      </c>
      <c r="AE1222">
        <v>2</v>
      </c>
      <c r="AF1222" t="s">
        <v>4028</v>
      </c>
      <c r="AG1222">
        <v>13</v>
      </c>
      <c r="AK1222" t="s">
        <v>291</v>
      </c>
      <c r="AM1222" t="s">
        <v>98</v>
      </c>
      <c r="AN1222" t="s">
        <v>98</v>
      </c>
      <c r="AO1222" t="s">
        <v>291</v>
      </c>
      <c r="AP1222" t="s">
        <v>99</v>
      </c>
      <c r="AQ1222" t="s">
        <v>102</v>
      </c>
      <c r="AV1222" t="s">
        <v>98</v>
      </c>
      <c r="AX1222" t="s">
        <v>167</v>
      </c>
      <c r="AZ1222" t="s">
        <v>109</v>
      </c>
      <c r="BC1222" t="s">
        <v>4029</v>
      </c>
      <c r="BF1222" t="s">
        <v>4030</v>
      </c>
      <c r="BG1222" t="s">
        <v>98</v>
      </c>
      <c r="BH1222" t="s">
        <v>98</v>
      </c>
      <c r="BI1222" t="s">
        <v>98</v>
      </c>
      <c r="BJ1222" t="s">
        <v>291</v>
      </c>
      <c r="BK1222" t="s">
        <v>292</v>
      </c>
      <c r="CA1222" t="s">
        <v>4031</v>
      </c>
      <c r="CB1222" t="s">
        <v>167</v>
      </c>
      <c r="CL1222" t="s">
        <v>98</v>
      </c>
      <c r="CM1222" t="s">
        <v>98</v>
      </c>
      <c r="CN1222" t="s">
        <v>3870</v>
      </c>
      <c r="CO1222" s="1">
        <v>41599</v>
      </c>
      <c r="CP1222" s="1">
        <v>43595</v>
      </c>
    </row>
    <row r="1223" spans="1:94" x14ac:dyDescent="0.25">
      <c r="A1223" s="4" t="s">
        <v>4032</v>
      </c>
      <c r="B1223" t="str">
        <f xml:space="preserve"> "" &amp; 706411052521</f>
        <v>706411052521</v>
      </c>
      <c r="C1223" t="s">
        <v>4017</v>
      </c>
      <c r="D1223" t="s">
        <v>4033</v>
      </c>
      <c r="F1223" t="s">
        <v>135</v>
      </c>
      <c r="G1223">
        <v>1</v>
      </c>
      <c r="H1223">
        <v>1</v>
      </c>
      <c r="I1223" t="s">
        <v>97</v>
      </c>
      <c r="J1223" s="32">
        <v>29.95</v>
      </c>
      <c r="K1223" s="32">
        <v>89.85</v>
      </c>
      <c r="L1223">
        <v>0</v>
      </c>
      <c r="N1223">
        <v>0</v>
      </c>
      <c r="S1223">
        <v>5.5</v>
      </c>
      <c r="T1223">
        <v>10</v>
      </c>
      <c r="U1223">
        <v>10</v>
      </c>
      <c r="W1223">
        <v>3.13</v>
      </c>
      <c r="X1223">
        <v>1</v>
      </c>
      <c r="Y1223">
        <v>9.25</v>
      </c>
      <c r="Z1223">
        <v>12</v>
      </c>
      <c r="AA1223">
        <v>12</v>
      </c>
      <c r="AB1223">
        <v>0.77100000000000002</v>
      </c>
      <c r="AC1223">
        <v>4.0999999999999996</v>
      </c>
      <c r="AE1223">
        <v>2</v>
      </c>
      <c r="AF1223" t="s">
        <v>4034</v>
      </c>
      <c r="AG1223">
        <v>13</v>
      </c>
      <c r="AK1223" t="s">
        <v>291</v>
      </c>
      <c r="AM1223" t="s">
        <v>98</v>
      </c>
      <c r="AN1223" t="s">
        <v>98</v>
      </c>
      <c r="AO1223" t="s">
        <v>291</v>
      </c>
      <c r="AP1223" t="s">
        <v>99</v>
      </c>
      <c r="AQ1223" t="s">
        <v>102</v>
      </c>
      <c r="AV1223" t="s">
        <v>98</v>
      </c>
      <c r="AX1223" t="s">
        <v>197</v>
      </c>
      <c r="AZ1223" t="s">
        <v>109</v>
      </c>
      <c r="BB1223" t="s">
        <v>106</v>
      </c>
      <c r="BC1223" t="s">
        <v>4029</v>
      </c>
      <c r="BF1223" t="s">
        <v>4035</v>
      </c>
      <c r="BG1223" t="s">
        <v>98</v>
      </c>
      <c r="BH1223" t="s">
        <v>98</v>
      </c>
      <c r="BI1223" t="s">
        <v>98</v>
      </c>
      <c r="BJ1223" t="s">
        <v>291</v>
      </c>
      <c r="BK1223" t="s">
        <v>292</v>
      </c>
      <c r="CA1223" t="s">
        <v>4031</v>
      </c>
      <c r="CB1223" t="s">
        <v>197</v>
      </c>
      <c r="CL1223" t="s">
        <v>98</v>
      </c>
      <c r="CM1223" t="s">
        <v>98</v>
      </c>
      <c r="CN1223" t="s">
        <v>3870</v>
      </c>
      <c r="CO1223" s="1">
        <v>41974</v>
      </c>
      <c r="CP1223" s="1">
        <v>43595</v>
      </c>
    </row>
    <row r="1224" spans="1:94" x14ac:dyDescent="0.25">
      <c r="A1224" s="4" t="s">
        <v>4036</v>
      </c>
      <c r="B1224" t="str">
        <f xml:space="preserve"> "" &amp; 706411037788</f>
        <v>706411037788</v>
      </c>
      <c r="C1224" t="s">
        <v>4017</v>
      </c>
      <c r="D1224" t="s">
        <v>4503</v>
      </c>
      <c r="F1224" t="s">
        <v>135</v>
      </c>
      <c r="G1224">
        <v>1</v>
      </c>
      <c r="H1224">
        <v>1</v>
      </c>
      <c r="I1224" t="s">
        <v>97</v>
      </c>
      <c r="J1224" s="32">
        <v>29.95</v>
      </c>
      <c r="K1224" s="32">
        <v>89.85</v>
      </c>
      <c r="L1224">
        <v>0</v>
      </c>
      <c r="N1224">
        <v>0</v>
      </c>
      <c r="S1224">
        <v>5.5</v>
      </c>
      <c r="T1224">
        <v>10.5</v>
      </c>
      <c r="U1224">
        <v>10.5</v>
      </c>
      <c r="W1224">
        <v>3.13</v>
      </c>
      <c r="X1224">
        <v>1</v>
      </c>
      <c r="Y1224">
        <v>9.5</v>
      </c>
      <c r="Z1224">
        <v>12</v>
      </c>
      <c r="AA1224">
        <v>12</v>
      </c>
      <c r="AB1224">
        <v>0.79200000000000004</v>
      </c>
      <c r="AC1224">
        <v>4.0999999999999996</v>
      </c>
      <c r="AE1224">
        <v>2</v>
      </c>
      <c r="AF1224" t="s">
        <v>4037</v>
      </c>
      <c r="AG1224">
        <v>13</v>
      </c>
      <c r="AK1224" t="s">
        <v>291</v>
      </c>
      <c r="AM1224" t="s">
        <v>98</v>
      </c>
      <c r="AN1224" t="s">
        <v>98</v>
      </c>
      <c r="AO1224" t="s">
        <v>291</v>
      </c>
      <c r="AP1224" t="s">
        <v>99</v>
      </c>
      <c r="AQ1224" t="s">
        <v>102</v>
      </c>
      <c r="AV1224" t="s">
        <v>98</v>
      </c>
      <c r="AX1224" t="s">
        <v>238</v>
      </c>
      <c r="AZ1224" t="s">
        <v>109</v>
      </c>
      <c r="BC1224" t="s">
        <v>4029</v>
      </c>
      <c r="BF1224" t="s">
        <v>4038</v>
      </c>
      <c r="BG1224" t="s">
        <v>98</v>
      </c>
      <c r="BH1224" t="s">
        <v>98</v>
      </c>
      <c r="BI1224" t="s">
        <v>98</v>
      </c>
      <c r="BJ1224" t="s">
        <v>291</v>
      </c>
      <c r="BK1224" t="s">
        <v>292</v>
      </c>
      <c r="CA1224" t="s">
        <v>4031</v>
      </c>
      <c r="CB1224" t="s">
        <v>238</v>
      </c>
      <c r="CL1224" t="s">
        <v>98</v>
      </c>
      <c r="CM1224" t="s">
        <v>98</v>
      </c>
      <c r="CN1224" t="s">
        <v>3870</v>
      </c>
      <c r="CO1224" s="1">
        <v>39823</v>
      </c>
      <c r="CP1224" s="1">
        <v>43595</v>
      </c>
    </row>
    <row r="1225" spans="1:94" x14ac:dyDescent="0.25">
      <c r="A1225" s="4" t="s">
        <v>4039</v>
      </c>
      <c r="B1225" t="str">
        <f xml:space="preserve"> "" &amp; 706411037795</f>
        <v>706411037795</v>
      </c>
      <c r="C1225" t="s">
        <v>4017</v>
      </c>
      <c r="D1225" t="s">
        <v>4040</v>
      </c>
      <c r="F1225" t="s">
        <v>135</v>
      </c>
      <c r="G1225">
        <v>1</v>
      </c>
      <c r="H1225">
        <v>1</v>
      </c>
      <c r="I1225" t="s">
        <v>97</v>
      </c>
      <c r="J1225" s="32">
        <v>29.95</v>
      </c>
      <c r="K1225" s="32">
        <v>89.85</v>
      </c>
      <c r="L1225">
        <v>0</v>
      </c>
      <c r="N1225">
        <v>0</v>
      </c>
      <c r="S1225">
        <v>5.5</v>
      </c>
      <c r="T1225">
        <v>10.5</v>
      </c>
      <c r="U1225">
        <v>10.5</v>
      </c>
      <c r="W1225">
        <v>3.13</v>
      </c>
      <c r="X1225">
        <v>1</v>
      </c>
      <c r="Y1225">
        <v>9.25</v>
      </c>
      <c r="Z1225">
        <v>12</v>
      </c>
      <c r="AA1225">
        <v>12</v>
      </c>
      <c r="AB1225">
        <v>0.77100000000000002</v>
      </c>
      <c r="AC1225">
        <v>4.0999999999999996</v>
      </c>
      <c r="AE1225">
        <v>2</v>
      </c>
      <c r="AF1225" t="s">
        <v>4034</v>
      </c>
      <c r="AG1225">
        <v>13</v>
      </c>
      <c r="AK1225" t="s">
        <v>291</v>
      </c>
      <c r="AM1225" t="s">
        <v>98</v>
      </c>
      <c r="AN1225" t="s">
        <v>98</v>
      </c>
      <c r="AO1225" t="s">
        <v>291</v>
      </c>
      <c r="AP1225" t="s">
        <v>99</v>
      </c>
      <c r="AQ1225" t="s">
        <v>102</v>
      </c>
      <c r="AV1225" t="s">
        <v>98</v>
      </c>
      <c r="AX1225" t="s">
        <v>245</v>
      </c>
      <c r="AZ1225" t="s">
        <v>109</v>
      </c>
      <c r="BC1225" t="s">
        <v>4029</v>
      </c>
      <c r="BF1225" t="s">
        <v>4041</v>
      </c>
      <c r="BG1225" t="s">
        <v>98</v>
      </c>
      <c r="BH1225" t="s">
        <v>98</v>
      </c>
      <c r="BI1225" t="s">
        <v>98</v>
      </c>
      <c r="BJ1225" t="s">
        <v>291</v>
      </c>
      <c r="BK1225" t="s">
        <v>292</v>
      </c>
      <c r="CA1225" t="s">
        <v>4031</v>
      </c>
      <c r="CB1225" t="s">
        <v>245</v>
      </c>
      <c r="CL1225" t="s">
        <v>98</v>
      </c>
      <c r="CM1225" t="s">
        <v>98</v>
      </c>
      <c r="CN1225" t="s">
        <v>3870</v>
      </c>
      <c r="CO1225" s="1">
        <v>40459</v>
      </c>
      <c r="CP1225" s="1">
        <v>43595</v>
      </c>
    </row>
    <row r="1226" spans="1:94" x14ac:dyDescent="0.25">
      <c r="A1226" s="4" t="s">
        <v>4042</v>
      </c>
      <c r="B1226" t="str">
        <f xml:space="preserve"> "" &amp; 706411037818</f>
        <v>706411037818</v>
      </c>
      <c r="C1226" t="s">
        <v>4017</v>
      </c>
      <c r="D1226" t="s">
        <v>4504</v>
      </c>
      <c r="F1226" t="s">
        <v>135</v>
      </c>
      <c r="G1226">
        <v>1</v>
      </c>
      <c r="H1226">
        <v>1</v>
      </c>
      <c r="I1226" t="s">
        <v>97</v>
      </c>
      <c r="J1226" s="32">
        <v>29.95</v>
      </c>
      <c r="K1226" s="32">
        <v>89.85</v>
      </c>
      <c r="L1226">
        <v>0</v>
      </c>
      <c r="N1226">
        <v>0</v>
      </c>
      <c r="S1226">
        <v>5.5</v>
      </c>
      <c r="T1226">
        <v>10.5</v>
      </c>
      <c r="U1226">
        <v>10.5</v>
      </c>
      <c r="W1226">
        <v>3.13</v>
      </c>
      <c r="X1226">
        <v>1</v>
      </c>
      <c r="Y1226">
        <v>9.25</v>
      </c>
      <c r="Z1226">
        <v>12</v>
      </c>
      <c r="AA1226">
        <v>12</v>
      </c>
      <c r="AB1226">
        <v>0.77100000000000002</v>
      </c>
      <c r="AC1226">
        <v>4.0999999999999996</v>
      </c>
      <c r="AE1226">
        <v>2</v>
      </c>
      <c r="AF1226" t="s">
        <v>4028</v>
      </c>
      <c r="AG1226">
        <v>13</v>
      </c>
      <c r="AK1226" t="s">
        <v>291</v>
      </c>
      <c r="AM1226" t="s">
        <v>98</v>
      </c>
      <c r="AN1226" t="s">
        <v>98</v>
      </c>
      <c r="AO1226" t="s">
        <v>291</v>
      </c>
      <c r="AP1226" t="s">
        <v>99</v>
      </c>
      <c r="AQ1226" t="s">
        <v>102</v>
      </c>
      <c r="AV1226" t="s">
        <v>98</v>
      </c>
      <c r="AX1226" t="s">
        <v>298</v>
      </c>
      <c r="AZ1226" t="s">
        <v>109</v>
      </c>
      <c r="BC1226" t="s">
        <v>4029</v>
      </c>
      <c r="BF1226" t="s">
        <v>4043</v>
      </c>
      <c r="BG1226" t="s">
        <v>98</v>
      </c>
      <c r="BH1226" t="s">
        <v>98</v>
      </c>
      <c r="BI1226" t="s">
        <v>98</v>
      </c>
      <c r="BJ1226" t="s">
        <v>291</v>
      </c>
      <c r="BK1226" t="s">
        <v>292</v>
      </c>
      <c r="CA1226" t="s">
        <v>4031</v>
      </c>
      <c r="CB1226" t="s">
        <v>298</v>
      </c>
      <c r="CL1226" t="s">
        <v>98</v>
      </c>
      <c r="CM1226" t="s">
        <v>98</v>
      </c>
      <c r="CN1226" t="s">
        <v>3870</v>
      </c>
      <c r="CO1226" s="1">
        <v>40459</v>
      </c>
      <c r="CP1226" s="1">
        <v>43595</v>
      </c>
    </row>
    <row r="1227" spans="1:94" x14ac:dyDescent="0.25">
      <c r="A1227" s="4" t="s">
        <v>4044</v>
      </c>
      <c r="B1227" t="str">
        <f xml:space="preserve"> "" &amp; 706411037825</f>
        <v>706411037825</v>
      </c>
      <c r="C1227" t="s">
        <v>4017</v>
      </c>
      <c r="D1227" t="s">
        <v>3995</v>
      </c>
      <c r="F1227" t="s">
        <v>135</v>
      </c>
      <c r="G1227">
        <v>1</v>
      </c>
      <c r="H1227">
        <v>1</v>
      </c>
      <c r="I1227" t="s">
        <v>97</v>
      </c>
      <c r="J1227" s="32">
        <v>29.95</v>
      </c>
      <c r="K1227" s="32">
        <v>89.85</v>
      </c>
      <c r="L1227">
        <v>0</v>
      </c>
      <c r="N1227">
        <v>0</v>
      </c>
      <c r="S1227">
        <v>5.5</v>
      </c>
      <c r="T1227">
        <v>10.5</v>
      </c>
      <c r="U1227">
        <v>10.5</v>
      </c>
      <c r="W1227">
        <v>3.13</v>
      </c>
      <c r="X1227">
        <v>1</v>
      </c>
      <c r="Y1227">
        <v>9.25</v>
      </c>
      <c r="Z1227">
        <v>12</v>
      </c>
      <c r="AA1227">
        <v>12</v>
      </c>
      <c r="AB1227">
        <v>0.77100000000000002</v>
      </c>
      <c r="AC1227">
        <v>4.0999999999999996</v>
      </c>
      <c r="AE1227">
        <v>2</v>
      </c>
      <c r="AF1227" t="s">
        <v>4028</v>
      </c>
      <c r="AG1227">
        <v>13</v>
      </c>
      <c r="AK1227" t="s">
        <v>291</v>
      </c>
      <c r="AM1227" t="s">
        <v>98</v>
      </c>
      <c r="AN1227" t="s">
        <v>98</v>
      </c>
      <c r="AO1227" t="s">
        <v>291</v>
      </c>
      <c r="AP1227" t="s">
        <v>99</v>
      </c>
      <c r="AQ1227" t="s">
        <v>102</v>
      </c>
      <c r="AV1227" t="s">
        <v>98</v>
      </c>
      <c r="AX1227" t="s">
        <v>302</v>
      </c>
      <c r="BC1227" t="s">
        <v>4029</v>
      </c>
      <c r="BF1227" t="s">
        <v>4045</v>
      </c>
      <c r="BG1227" t="s">
        <v>98</v>
      </c>
      <c r="BH1227" t="s">
        <v>98</v>
      </c>
      <c r="BI1227" t="s">
        <v>98</v>
      </c>
      <c r="BJ1227" t="s">
        <v>291</v>
      </c>
      <c r="BK1227" t="s">
        <v>292</v>
      </c>
      <c r="CA1227" t="s">
        <v>4031</v>
      </c>
      <c r="CB1227" t="s">
        <v>302</v>
      </c>
      <c r="CL1227" t="s">
        <v>98</v>
      </c>
      <c r="CM1227" t="s">
        <v>98</v>
      </c>
      <c r="CN1227" t="s">
        <v>3870</v>
      </c>
      <c r="CO1227" s="1">
        <v>40459</v>
      </c>
      <c r="CP1227" s="1">
        <v>43595</v>
      </c>
    </row>
    <row r="1228" spans="1:94" x14ac:dyDescent="0.25">
      <c r="A1228" s="4" t="s">
        <v>4046</v>
      </c>
      <c r="B1228" t="str">
        <f xml:space="preserve"> "" &amp; 706411037832</f>
        <v>706411037832</v>
      </c>
      <c r="C1228" t="s">
        <v>3973</v>
      </c>
      <c r="D1228" t="s">
        <v>4047</v>
      </c>
      <c r="F1228" t="s">
        <v>135</v>
      </c>
      <c r="G1228">
        <v>1</v>
      </c>
      <c r="H1228">
        <v>1</v>
      </c>
      <c r="I1228" t="s">
        <v>97</v>
      </c>
      <c r="J1228" s="32">
        <v>16.95</v>
      </c>
      <c r="K1228" s="32">
        <v>50.85</v>
      </c>
      <c r="L1228">
        <v>0</v>
      </c>
      <c r="N1228">
        <v>0</v>
      </c>
      <c r="S1228">
        <v>8.5</v>
      </c>
      <c r="T1228">
        <v>9</v>
      </c>
      <c r="U1228">
        <v>7.75</v>
      </c>
      <c r="W1228">
        <v>1.34</v>
      </c>
      <c r="X1228">
        <v>1</v>
      </c>
      <c r="Y1228">
        <v>8.8800000000000008</v>
      </c>
      <c r="Z1228">
        <v>9</v>
      </c>
      <c r="AA1228">
        <v>9</v>
      </c>
      <c r="AB1228">
        <v>0.41599999999999998</v>
      </c>
      <c r="AC1228">
        <v>2.0699999999999998</v>
      </c>
      <c r="AE1228">
        <v>1</v>
      </c>
      <c r="AF1228" t="s">
        <v>3867</v>
      </c>
      <c r="AG1228">
        <v>60</v>
      </c>
      <c r="AK1228" t="s">
        <v>98</v>
      </c>
      <c r="AM1228" t="s">
        <v>98</v>
      </c>
      <c r="AN1228" t="s">
        <v>98</v>
      </c>
      <c r="AO1228" t="s">
        <v>291</v>
      </c>
      <c r="AP1228" t="s">
        <v>99</v>
      </c>
      <c r="AQ1228" t="s">
        <v>102</v>
      </c>
      <c r="AV1228" t="s">
        <v>98</v>
      </c>
      <c r="AX1228" t="s">
        <v>302</v>
      </c>
      <c r="AZ1228" t="s">
        <v>109</v>
      </c>
      <c r="BF1228" t="s">
        <v>4048</v>
      </c>
      <c r="BG1228" t="s">
        <v>98</v>
      </c>
      <c r="BH1228" t="s">
        <v>98</v>
      </c>
      <c r="BI1228" t="s">
        <v>98</v>
      </c>
      <c r="BK1228" t="s">
        <v>138</v>
      </c>
      <c r="CA1228" t="s">
        <v>4049</v>
      </c>
      <c r="CB1228" t="s">
        <v>302</v>
      </c>
      <c r="CL1228" t="s">
        <v>98</v>
      </c>
      <c r="CM1228" t="s">
        <v>98</v>
      </c>
      <c r="CN1228" t="s">
        <v>4050</v>
      </c>
      <c r="CO1228" s="1">
        <v>40459</v>
      </c>
      <c r="CP1228" s="1">
        <v>43595</v>
      </c>
    </row>
    <row r="1229" spans="1:94" x14ac:dyDescent="0.25">
      <c r="A1229" s="4" t="s">
        <v>4051</v>
      </c>
      <c r="B1229" t="str">
        <f xml:space="preserve"> "" &amp; 706411037849</f>
        <v>706411037849</v>
      </c>
      <c r="C1229" t="s">
        <v>3973</v>
      </c>
      <c r="D1229" t="s">
        <v>4052</v>
      </c>
      <c r="F1229" t="s">
        <v>135</v>
      </c>
      <c r="G1229">
        <v>1</v>
      </c>
      <c r="H1229">
        <v>1</v>
      </c>
      <c r="I1229" t="s">
        <v>97</v>
      </c>
      <c r="J1229" s="32">
        <v>16.95</v>
      </c>
      <c r="K1229" s="32">
        <v>50.85</v>
      </c>
      <c r="L1229">
        <v>0</v>
      </c>
      <c r="N1229">
        <v>0</v>
      </c>
      <c r="S1229">
        <v>8.8800000000000008</v>
      </c>
      <c r="T1229">
        <v>9</v>
      </c>
      <c r="U1229">
        <v>9</v>
      </c>
      <c r="W1229">
        <v>1.35</v>
      </c>
      <c r="X1229">
        <v>1</v>
      </c>
      <c r="Y1229">
        <v>8.8800000000000008</v>
      </c>
      <c r="Z1229">
        <v>9</v>
      </c>
      <c r="AA1229">
        <v>9</v>
      </c>
      <c r="AB1229">
        <v>0.41599999999999998</v>
      </c>
      <c r="AC1229">
        <v>2.37</v>
      </c>
      <c r="AK1229" t="s">
        <v>98</v>
      </c>
      <c r="AM1229" t="s">
        <v>98</v>
      </c>
      <c r="AN1229" t="s">
        <v>98</v>
      </c>
      <c r="AO1229" t="s">
        <v>98</v>
      </c>
      <c r="AP1229" t="s">
        <v>99</v>
      </c>
      <c r="AQ1229" t="s">
        <v>102</v>
      </c>
      <c r="AV1229" t="s">
        <v>98</v>
      </c>
      <c r="AX1229" t="s">
        <v>245</v>
      </c>
      <c r="BF1229" t="s">
        <v>4053</v>
      </c>
      <c r="BG1229" t="s">
        <v>98</v>
      </c>
      <c r="BH1229" t="s">
        <v>98</v>
      </c>
      <c r="BI1229" t="s">
        <v>98</v>
      </c>
      <c r="CB1229" t="s">
        <v>245</v>
      </c>
      <c r="CL1229" t="s">
        <v>98</v>
      </c>
      <c r="CM1229" t="s">
        <v>98</v>
      </c>
      <c r="CP1229" s="1">
        <v>43595</v>
      </c>
    </row>
    <row r="1230" spans="1:94" x14ac:dyDescent="0.25">
      <c r="A1230" s="4" t="s">
        <v>4054</v>
      </c>
      <c r="B1230" t="str">
        <f xml:space="preserve"> "" &amp; 706411028632</f>
        <v>706411028632</v>
      </c>
      <c r="C1230" t="s">
        <v>4055</v>
      </c>
      <c r="D1230" t="s">
        <v>4505</v>
      </c>
      <c r="F1230" t="s">
        <v>135</v>
      </c>
      <c r="G1230">
        <v>1</v>
      </c>
      <c r="H1230">
        <v>1</v>
      </c>
      <c r="I1230" t="s">
        <v>97</v>
      </c>
      <c r="J1230" s="32">
        <v>129.94999999999999</v>
      </c>
      <c r="K1230" s="32">
        <v>389.85</v>
      </c>
      <c r="L1230">
        <v>0</v>
      </c>
      <c r="N1230">
        <v>0</v>
      </c>
      <c r="S1230">
        <v>6.5</v>
      </c>
      <c r="T1230">
        <v>11.25</v>
      </c>
      <c r="U1230">
        <v>11.25</v>
      </c>
      <c r="W1230">
        <v>14.2</v>
      </c>
      <c r="X1230">
        <v>1</v>
      </c>
      <c r="Y1230">
        <v>9.5</v>
      </c>
      <c r="Z1230">
        <v>13</v>
      </c>
      <c r="AA1230">
        <v>13</v>
      </c>
      <c r="AB1230">
        <v>0.92900000000000005</v>
      </c>
      <c r="AC1230">
        <v>18.78</v>
      </c>
      <c r="AE1230">
        <v>2</v>
      </c>
      <c r="AF1230" t="s">
        <v>2350</v>
      </c>
      <c r="AG1230">
        <v>60</v>
      </c>
      <c r="AK1230" t="s">
        <v>98</v>
      </c>
      <c r="AM1230" t="s">
        <v>98</v>
      </c>
      <c r="AN1230" t="s">
        <v>291</v>
      </c>
      <c r="AO1230" t="s">
        <v>98</v>
      </c>
      <c r="AP1230" t="s">
        <v>99</v>
      </c>
      <c r="AQ1230" t="s">
        <v>102</v>
      </c>
      <c r="AV1230" t="s">
        <v>98</v>
      </c>
      <c r="AX1230" t="s">
        <v>136</v>
      </c>
      <c r="AZ1230" t="s">
        <v>109</v>
      </c>
      <c r="BF1230" t="s">
        <v>4056</v>
      </c>
      <c r="BG1230" t="s">
        <v>98</v>
      </c>
      <c r="BH1230" t="s">
        <v>98</v>
      </c>
      <c r="BI1230" t="s">
        <v>98</v>
      </c>
      <c r="BK1230" t="s">
        <v>138</v>
      </c>
      <c r="CA1230" t="s">
        <v>4054</v>
      </c>
      <c r="CB1230" t="s">
        <v>136</v>
      </c>
      <c r="CL1230" t="s">
        <v>98</v>
      </c>
      <c r="CM1230" t="s">
        <v>98</v>
      </c>
      <c r="CN1230" t="s">
        <v>4057</v>
      </c>
      <c r="CO1230" s="1">
        <v>40459</v>
      </c>
      <c r="CP1230" s="1">
        <v>43595</v>
      </c>
    </row>
    <row r="1231" spans="1:94" x14ac:dyDescent="0.25">
      <c r="A1231" s="4" t="s">
        <v>4058</v>
      </c>
      <c r="B1231" t="str">
        <f xml:space="preserve"> "" &amp; 706411044441</f>
        <v>706411044441</v>
      </c>
      <c r="C1231" t="s">
        <v>3872</v>
      </c>
      <c r="D1231" t="s">
        <v>4059</v>
      </c>
      <c r="F1231" t="s">
        <v>135</v>
      </c>
      <c r="G1231">
        <v>1</v>
      </c>
      <c r="H1231">
        <v>1</v>
      </c>
      <c r="I1231" t="s">
        <v>97</v>
      </c>
      <c r="J1231" s="32">
        <v>22.95</v>
      </c>
      <c r="K1231" s="32">
        <v>68.849999999999994</v>
      </c>
      <c r="L1231">
        <v>0</v>
      </c>
      <c r="N1231">
        <v>0</v>
      </c>
      <c r="S1231">
        <v>3.5</v>
      </c>
      <c r="T1231">
        <v>12.25</v>
      </c>
      <c r="U1231">
        <v>12.25</v>
      </c>
      <c r="W1231">
        <v>2.73</v>
      </c>
      <c r="X1231">
        <v>1</v>
      </c>
      <c r="Y1231">
        <v>6.38</v>
      </c>
      <c r="Z1231">
        <v>14.13</v>
      </c>
      <c r="AA1231">
        <v>14.13</v>
      </c>
      <c r="AB1231">
        <v>0.73699999999999999</v>
      </c>
      <c r="AC1231">
        <v>4.1900000000000004</v>
      </c>
      <c r="AE1231">
        <v>3</v>
      </c>
      <c r="AF1231" t="s">
        <v>2350</v>
      </c>
      <c r="AG1231">
        <v>40</v>
      </c>
      <c r="AK1231" t="s">
        <v>291</v>
      </c>
      <c r="AM1231" t="s">
        <v>98</v>
      </c>
      <c r="AN1231" t="s">
        <v>291</v>
      </c>
      <c r="AO1231" t="s">
        <v>98</v>
      </c>
      <c r="AP1231" t="s">
        <v>99</v>
      </c>
      <c r="AQ1231" t="s">
        <v>102</v>
      </c>
      <c r="AV1231" t="s">
        <v>98</v>
      </c>
      <c r="AX1231" t="s">
        <v>302</v>
      </c>
      <c r="AZ1231" t="s">
        <v>535</v>
      </c>
      <c r="BB1231" t="s">
        <v>106</v>
      </c>
      <c r="BC1231" t="s">
        <v>2339</v>
      </c>
      <c r="BF1231" t="s">
        <v>4060</v>
      </c>
      <c r="BG1231" t="s">
        <v>98</v>
      </c>
      <c r="BH1231" t="s">
        <v>98</v>
      </c>
      <c r="BI1231" t="s">
        <v>98</v>
      </c>
      <c r="BK1231" t="s">
        <v>138</v>
      </c>
      <c r="CA1231" t="s">
        <v>4061</v>
      </c>
      <c r="CB1231" t="s">
        <v>302</v>
      </c>
      <c r="CL1231" t="s">
        <v>98</v>
      </c>
      <c r="CM1231" t="s">
        <v>98</v>
      </c>
      <c r="CN1231" t="s">
        <v>3870</v>
      </c>
      <c r="CO1231" s="1">
        <v>41270</v>
      </c>
      <c r="CP1231" s="1">
        <v>43595</v>
      </c>
    </row>
    <row r="1232" spans="1:94" x14ac:dyDescent="0.25">
      <c r="A1232" s="4" t="s">
        <v>4062</v>
      </c>
      <c r="B1232" t="str">
        <f xml:space="preserve"> "" &amp; 706411044458</f>
        <v>706411044458</v>
      </c>
      <c r="C1232" t="s">
        <v>3872</v>
      </c>
      <c r="D1232" t="s">
        <v>4063</v>
      </c>
      <c r="F1232" t="s">
        <v>135</v>
      </c>
      <c r="G1232">
        <v>1</v>
      </c>
      <c r="H1232">
        <v>1</v>
      </c>
      <c r="I1232" t="s">
        <v>97</v>
      </c>
      <c r="J1232" s="32">
        <v>22.95</v>
      </c>
      <c r="K1232" s="32">
        <v>68.849999999999994</v>
      </c>
      <c r="L1232">
        <v>0</v>
      </c>
      <c r="N1232">
        <v>0</v>
      </c>
      <c r="S1232">
        <v>3.5</v>
      </c>
      <c r="T1232">
        <v>12.25</v>
      </c>
      <c r="U1232">
        <v>12.25</v>
      </c>
      <c r="W1232">
        <v>2.73</v>
      </c>
      <c r="X1232">
        <v>1</v>
      </c>
      <c r="Y1232">
        <v>6.38</v>
      </c>
      <c r="Z1232">
        <v>14.13</v>
      </c>
      <c r="AA1232">
        <v>14.13</v>
      </c>
      <c r="AB1232">
        <v>0.73699999999999999</v>
      </c>
      <c r="AC1232">
        <v>4.1900000000000004</v>
      </c>
      <c r="AE1232">
        <v>3</v>
      </c>
      <c r="AF1232" t="s">
        <v>2350</v>
      </c>
      <c r="AG1232">
        <v>40</v>
      </c>
      <c r="AK1232" t="s">
        <v>291</v>
      </c>
      <c r="AM1232" t="s">
        <v>98</v>
      </c>
      <c r="AN1232" t="s">
        <v>291</v>
      </c>
      <c r="AO1232" t="s">
        <v>98</v>
      </c>
      <c r="AP1232" t="s">
        <v>99</v>
      </c>
      <c r="AQ1232" t="s">
        <v>102</v>
      </c>
      <c r="AV1232" t="s">
        <v>98</v>
      </c>
      <c r="AX1232" t="s">
        <v>302</v>
      </c>
      <c r="AZ1232" t="s">
        <v>535</v>
      </c>
      <c r="BB1232" t="s">
        <v>106</v>
      </c>
      <c r="BC1232" t="s">
        <v>2351</v>
      </c>
      <c r="BF1232" t="s">
        <v>4064</v>
      </c>
      <c r="BG1232" t="s">
        <v>98</v>
      </c>
      <c r="BH1232" t="s">
        <v>98</v>
      </c>
      <c r="BI1232" t="s">
        <v>98</v>
      </c>
      <c r="BK1232" t="s">
        <v>138</v>
      </c>
      <c r="CA1232" t="s">
        <v>4061</v>
      </c>
      <c r="CB1232" t="s">
        <v>302</v>
      </c>
      <c r="CL1232" t="s">
        <v>98</v>
      </c>
      <c r="CM1232" t="s">
        <v>98</v>
      </c>
      <c r="CN1232" t="s">
        <v>3870</v>
      </c>
      <c r="CO1232" s="1">
        <v>41270</v>
      </c>
      <c r="CP1232" s="1">
        <v>43595</v>
      </c>
    </row>
    <row r="1233" spans="1:94" x14ac:dyDescent="0.25">
      <c r="A1233" s="4" t="s">
        <v>4065</v>
      </c>
      <c r="B1233" t="str">
        <f xml:space="preserve"> "" &amp; 706411044465</f>
        <v>706411044465</v>
      </c>
      <c r="C1233" t="s">
        <v>3872</v>
      </c>
      <c r="D1233" t="s">
        <v>4059</v>
      </c>
      <c r="F1233" t="s">
        <v>135</v>
      </c>
      <c r="G1233">
        <v>1</v>
      </c>
      <c r="H1233">
        <v>1</v>
      </c>
      <c r="I1233" t="s">
        <v>97</v>
      </c>
      <c r="J1233" s="32">
        <v>22.95</v>
      </c>
      <c r="K1233" s="32">
        <v>68.849999999999994</v>
      </c>
      <c r="L1233">
        <v>0</v>
      </c>
      <c r="N1233">
        <v>0</v>
      </c>
      <c r="S1233">
        <v>3.5</v>
      </c>
      <c r="T1233">
        <v>12.25</v>
      </c>
      <c r="U1233">
        <v>12.25</v>
      </c>
      <c r="W1233">
        <v>2.73</v>
      </c>
      <c r="X1233">
        <v>1</v>
      </c>
      <c r="Y1233">
        <v>6.38</v>
      </c>
      <c r="Z1233">
        <v>14.13</v>
      </c>
      <c r="AA1233">
        <v>14.13</v>
      </c>
      <c r="AB1233">
        <v>0.73699999999999999</v>
      </c>
      <c r="AC1233">
        <v>4.1900000000000004</v>
      </c>
      <c r="AE1233">
        <v>3</v>
      </c>
      <c r="AF1233" t="s">
        <v>2350</v>
      </c>
      <c r="AG1233">
        <v>40</v>
      </c>
      <c r="AK1233" t="s">
        <v>98</v>
      </c>
      <c r="AM1233" t="s">
        <v>98</v>
      </c>
      <c r="AN1233" t="s">
        <v>291</v>
      </c>
      <c r="AO1233" t="s">
        <v>98</v>
      </c>
      <c r="AP1233" t="s">
        <v>99</v>
      </c>
      <c r="AQ1233" t="s">
        <v>102</v>
      </c>
      <c r="AV1233" t="s">
        <v>98</v>
      </c>
      <c r="AX1233" t="s">
        <v>302</v>
      </c>
      <c r="AZ1233" t="s">
        <v>535</v>
      </c>
      <c r="BB1233" t="s">
        <v>106</v>
      </c>
      <c r="BC1233" t="s">
        <v>4066</v>
      </c>
      <c r="BF1233" t="s">
        <v>4067</v>
      </c>
      <c r="BG1233" t="s">
        <v>98</v>
      </c>
      <c r="BH1233" t="s">
        <v>98</v>
      </c>
      <c r="BI1233" t="s">
        <v>98</v>
      </c>
      <c r="BK1233" t="s">
        <v>138</v>
      </c>
      <c r="CA1233" t="s">
        <v>4068</v>
      </c>
      <c r="CB1233" t="s">
        <v>302</v>
      </c>
      <c r="CL1233" t="s">
        <v>98</v>
      </c>
      <c r="CM1233" t="s">
        <v>98</v>
      </c>
      <c r="CN1233" t="s">
        <v>3870</v>
      </c>
      <c r="CO1233" s="1">
        <v>41270</v>
      </c>
      <c r="CP1233" s="1">
        <v>43595</v>
      </c>
    </row>
    <row r="1234" spans="1:94" x14ac:dyDescent="0.25">
      <c r="A1234" s="4" t="s">
        <v>4069</v>
      </c>
      <c r="B1234" t="str">
        <f xml:space="preserve"> "" &amp; 706411044472</f>
        <v>706411044472</v>
      </c>
      <c r="C1234" t="s">
        <v>3872</v>
      </c>
      <c r="D1234" t="s">
        <v>4063</v>
      </c>
      <c r="F1234" t="s">
        <v>135</v>
      </c>
      <c r="G1234">
        <v>1</v>
      </c>
      <c r="H1234">
        <v>1</v>
      </c>
      <c r="I1234" t="s">
        <v>97</v>
      </c>
      <c r="J1234" s="32">
        <v>22.95</v>
      </c>
      <c r="K1234" s="32">
        <v>68.849999999999994</v>
      </c>
      <c r="L1234">
        <v>0</v>
      </c>
      <c r="N1234">
        <v>0</v>
      </c>
      <c r="S1234">
        <v>3.5</v>
      </c>
      <c r="T1234">
        <v>12.25</v>
      </c>
      <c r="U1234">
        <v>12.25</v>
      </c>
      <c r="W1234">
        <v>2.73</v>
      </c>
      <c r="X1234">
        <v>1</v>
      </c>
      <c r="Y1234">
        <v>6.38</v>
      </c>
      <c r="Z1234">
        <v>14.13</v>
      </c>
      <c r="AA1234">
        <v>14.13</v>
      </c>
      <c r="AB1234">
        <v>0.73699999999999999</v>
      </c>
      <c r="AC1234">
        <v>4.1900000000000004</v>
      </c>
      <c r="AE1234">
        <v>3</v>
      </c>
      <c r="AF1234" t="s">
        <v>2350</v>
      </c>
      <c r="AG1234">
        <v>40</v>
      </c>
      <c r="AK1234" t="s">
        <v>291</v>
      </c>
      <c r="AM1234" t="s">
        <v>98</v>
      </c>
      <c r="AN1234" t="s">
        <v>291</v>
      </c>
      <c r="AO1234" t="s">
        <v>98</v>
      </c>
      <c r="AP1234" t="s">
        <v>99</v>
      </c>
      <c r="AQ1234" t="s">
        <v>102</v>
      </c>
      <c r="AV1234" t="s">
        <v>98</v>
      </c>
      <c r="AX1234" t="s">
        <v>302</v>
      </c>
      <c r="AZ1234" t="s">
        <v>535</v>
      </c>
      <c r="BB1234" t="s">
        <v>106</v>
      </c>
      <c r="BC1234" t="s">
        <v>2351</v>
      </c>
      <c r="BF1234" t="s">
        <v>4070</v>
      </c>
      <c r="BG1234" t="s">
        <v>98</v>
      </c>
      <c r="BH1234" t="s">
        <v>98</v>
      </c>
      <c r="BI1234" t="s">
        <v>98</v>
      </c>
      <c r="BK1234" t="s">
        <v>138</v>
      </c>
      <c r="CA1234" t="s">
        <v>4068</v>
      </c>
      <c r="CB1234" t="s">
        <v>302</v>
      </c>
      <c r="CL1234" t="s">
        <v>98</v>
      </c>
      <c r="CM1234" t="s">
        <v>98</v>
      </c>
      <c r="CN1234" t="s">
        <v>3870</v>
      </c>
      <c r="CP1234" s="1">
        <v>43595</v>
      </c>
    </row>
    <row r="1235" spans="1:94" x14ac:dyDescent="0.25">
      <c r="A1235" s="4" t="s">
        <v>4071</v>
      </c>
      <c r="B1235" t="str">
        <f xml:space="preserve"> "" &amp; 706411026775</f>
        <v>706411026775</v>
      </c>
      <c r="C1235" t="s">
        <v>4055</v>
      </c>
      <c r="D1235" t="s">
        <v>4072</v>
      </c>
      <c r="F1235" t="s">
        <v>135</v>
      </c>
      <c r="G1235">
        <v>1</v>
      </c>
      <c r="H1235">
        <v>1</v>
      </c>
      <c r="I1235" t="s">
        <v>97</v>
      </c>
      <c r="J1235" s="32">
        <v>26.5</v>
      </c>
      <c r="K1235" s="32">
        <v>79.5</v>
      </c>
      <c r="L1235">
        <v>0</v>
      </c>
      <c r="N1235">
        <v>0</v>
      </c>
      <c r="S1235">
        <v>5</v>
      </c>
      <c r="U1235">
        <v>12</v>
      </c>
      <c r="W1235">
        <v>2.87</v>
      </c>
      <c r="X1235">
        <v>1</v>
      </c>
      <c r="AB1235">
        <v>0.85199999999999998</v>
      </c>
      <c r="AC1235">
        <v>4.6100000000000003</v>
      </c>
      <c r="AE1235">
        <v>3</v>
      </c>
      <c r="AF1235" t="s">
        <v>2350</v>
      </c>
      <c r="AG1235">
        <v>60</v>
      </c>
      <c r="AK1235" t="s">
        <v>98</v>
      </c>
      <c r="AM1235" t="s">
        <v>98</v>
      </c>
      <c r="AN1235" t="s">
        <v>98</v>
      </c>
      <c r="AO1235" t="s">
        <v>291</v>
      </c>
      <c r="AP1235" t="s">
        <v>99</v>
      </c>
      <c r="AQ1235" t="s">
        <v>102</v>
      </c>
      <c r="AV1235" t="s">
        <v>98</v>
      </c>
      <c r="AX1235" t="s">
        <v>302</v>
      </c>
      <c r="AZ1235" t="s">
        <v>109</v>
      </c>
      <c r="BB1235" t="s">
        <v>106</v>
      </c>
      <c r="BC1235" t="s">
        <v>2532</v>
      </c>
      <c r="BF1235" t="s">
        <v>4073</v>
      </c>
      <c r="BG1235" t="s">
        <v>98</v>
      </c>
      <c r="BH1235" t="s">
        <v>98</v>
      </c>
      <c r="BI1235" t="s">
        <v>98</v>
      </c>
      <c r="BK1235" t="s">
        <v>138</v>
      </c>
      <c r="CA1235" t="s">
        <v>4071</v>
      </c>
      <c r="CB1235" t="s">
        <v>302</v>
      </c>
      <c r="CL1235" t="s">
        <v>291</v>
      </c>
      <c r="CM1235" t="s">
        <v>98</v>
      </c>
      <c r="CN1235" t="s">
        <v>3870</v>
      </c>
      <c r="CO1235" s="1">
        <v>40308</v>
      </c>
      <c r="CP1235" s="1">
        <v>43595</v>
      </c>
    </row>
    <row r="1236" spans="1:94" x14ac:dyDescent="0.25">
      <c r="A1236" s="4" t="s">
        <v>4074</v>
      </c>
      <c r="B1236" t="str">
        <f xml:space="preserve"> "" &amp; 706411040559</f>
        <v>706411040559</v>
      </c>
      <c r="C1236" t="s">
        <v>3872</v>
      </c>
      <c r="D1236" t="s">
        <v>4075</v>
      </c>
      <c r="E1236" t="s">
        <v>2791</v>
      </c>
      <c r="F1236" t="s">
        <v>135</v>
      </c>
      <c r="G1236">
        <v>1</v>
      </c>
      <c r="H1236">
        <v>1</v>
      </c>
      <c r="I1236" t="s">
        <v>97</v>
      </c>
      <c r="J1236" s="32">
        <v>21.95</v>
      </c>
      <c r="K1236" s="32">
        <v>65.849999999999994</v>
      </c>
      <c r="L1236">
        <v>0</v>
      </c>
      <c r="N1236">
        <v>0</v>
      </c>
      <c r="S1236">
        <v>3</v>
      </c>
      <c r="T1236">
        <v>9.8800000000000008</v>
      </c>
      <c r="U1236">
        <v>8.5</v>
      </c>
      <c r="W1236">
        <v>1.23</v>
      </c>
      <c r="X1236">
        <v>1</v>
      </c>
      <c r="Y1236">
        <v>7</v>
      </c>
      <c r="Z1236">
        <v>9.8800000000000008</v>
      </c>
      <c r="AA1236">
        <v>9.8800000000000008</v>
      </c>
      <c r="AB1236">
        <v>0.39500000000000002</v>
      </c>
      <c r="AC1236">
        <v>1.87</v>
      </c>
      <c r="AE1236">
        <v>3</v>
      </c>
      <c r="AF1236" t="s">
        <v>2846</v>
      </c>
      <c r="AG1236">
        <v>60</v>
      </c>
      <c r="AK1236" t="s">
        <v>291</v>
      </c>
      <c r="AM1236" t="s">
        <v>98</v>
      </c>
      <c r="AN1236" t="s">
        <v>98</v>
      </c>
      <c r="AO1236" t="s">
        <v>291</v>
      </c>
      <c r="AP1236" t="s">
        <v>99</v>
      </c>
      <c r="AQ1236" t="s">
        <v>102</v>
      </c>
      <c r="AV1236" t="s">
        <v>98</v>
      </c>
      <c r="AX1236" t="s">
        <v>190</v>
      </c>
      <c r="AZ1236" t="s">
        <v>109</v>
      </c>
      <c r="BF1236" t="s">
        <v>4076</v>
      </c>
      <c r="BG1236" t="s">
        <v>98</v>
      </c>
      <c r="BH1236" t="s">
        <v>98</v>
      </c>
      <c r="BI1236" t="s">
        <v>98</v>
      </c>
      <c r="BK1236" t="s">
        <v>138</v>
      </c>
      <c r="CA1236" t="s">
        <v>4077</v>
      </c>
      <c r="CB1236" t="s">
        <v>190</v>
      </c>
      <c r="CL1236" t="s">
        <v>98</v>
      </c>
      <c r="CM1236" t="s">
        <v>98</v>
      </c>
      <c r="CN1236" t="s">
        <v>349</v>
      </c>
      <c r="CO1236" s="1">
        <v>40484</v>
      </c>
      <c r="CP1236" s="1">
        <v>43595</v>
      </c>
    </row>
    <row r="1237" spans="1:94" x14ac:dyDescent="0.25">
      <c r="A1237" s="4" t="s">
        <v>4078</v>
      </c>
      <c r="B1237" t="str">
        <f xml:space="preserve"> "" &amp; 706411040603</f>
        <v>706411040603</v>
      </c>
      <c r="C1237" t="s">
        <v>3872</v>
      </c>
      <c r="D1237" t="s">
        <v>4079</v>
      </c>
      <c r="E1237" t="s">
        <v>2791</v>
      </c>
      <c r="F1237" t="s">
        <v>135</v>
      </c>
      <c r="G1237">
        <v>1</v>
      </c>
      <c r="H1237">
        <v>1</v>
      </c>
      <c r="I1237" t="s">
        <v>97</v>
      </c>
      <c r="J1237" s="32">
        <v>21.95</v>
      </c>
      <c r="K1237" s="32">
        <v>65.849999999999994</v>
      </c>
      <c r="L1237">
        <v>0</v>
      </c>
      <c r="N1237">
        <v>0</v>
      </c>
      <c r="S1237">
        <v>3</v>
      </c>
      <c r="T1237">
        <v>9.8800000000000008</v>
      </c>
      <c r="U1237">
        <v>8.5</v>
      </c>
      <c r="W1237">
        <v>1.23</v>
      </c>
      <c r="X1237">
        <v>1</v>
      </c>
      <c r="Y1237">
        <v>7</v>
      </c>
      <c r="Z1237">
        <v>9.8800000000000008</v>
      </c>
      <c r="AA1237">
        <v>9.8800000000000008</v>
      </c>
      <c r="AB1237">
        <v>0.39500000000000002</v>
      </c>
      <c r="AC1237">
        <v>1.87</v>
      </c>
      <c r="AE1237">
        <v>3</v>
      </c>
      <c r="AF1237" t="s">
        <v>2846</v>
      </c>
      <c r="AG1237">
        <v>60</v>
      </c>
      <c r="AK1237" t="s">
        <v>291</v>
      </c>
      <c r="AM1237" t="s">
        <v>98</v>
      </c>
      <c r="AN1237" t="s">
        <v>98</v>
      </c>
      <c r="AO1237" t="s">
        <v>291</v>
      </c>
      <c r="AP1237" t="s">
        <v>99</v>
      </c>
      <c r="AQ1237" t="s">
        <v>102</v>
      </c>
      <c r="AV1237" t="s">
        <v>98</v>
      </c>
      <c r="AX1237" t="s">
        <v>201</v>
      </c>
      <c r="AZ1237" t="s">
        <v>109</v>
      </c>
      <c r="BF1237" t="s">
        <v>4080</v>
      </c>
      <c r="BG1237" t="s">
        <v>98</v>
      </c>
      <c r="BH1237" t="s">
        <v>98</v>
      </c>
      <c r="BI1237" t="s">
        <v>98</v>
      </c>
      <c r="BK1237" t="s">
        <v>138</v>
      </c>
      <c r="CA1237" t="s">
        <v>4077</v>
      </c>
      <c r="CB1237" t="s">
        <v>201</v>
      </c>
      <c r="CL1237" t="s">
        <v>98</v>
      </c>
      <c r="CM1237" t="s">
        <v>98</v>
      </c>
      <c r="CN1237" t="s">
        <v>349</v>
      </c>
      <c r="CO1237" s="1">
        <v>40484</v>
      </c>
      <c r="CP1237" s="1">
        <v>43595</v>
      </c>
    </row>
    <row r="1238" spans="1:94" x14ac:dyDescent="0.25">
      <c r="A1238" s="4" t="s">
        <v>4081</v>
      </c>
      <c r="B1238" t="str">
        <f xml:space="preserve"> "" &amp; 706411040597</f>
        <v>706411040597</v>
      </c>
      <c r="C1238" t="s">
        <v>3872</v>
      </c>
      <c r="D1238" t="s">
        <v>4082</v>
      </c>
      <c r="E1238" t="s">
        <v>2791</v>
      </c>
      <c r="F1238" t="s">
        <v>135</v>
      </c>
      <c r="G1238">
        <v>1</v>
      </c>
      <c r="H1238">
        <v>1</v>
      </c>
      <c r="I1238" t="s">
        <v>97</v>
      </c>
      <c r="J1238" s="32">
        <v>21.95</v>
      </c>
      <c r="K1238" s="32">
        <v>65.849999999999994</v>
      </c>
      <c r="L1238">
        <v>0</v>
      </c>
      <c r="N1238">
        <v>0</v>
      </c>
      <c r="S1238">
        <v>3</v>
      </c>
      <c r="T1238">
        <v>9.8800000000000008</v>
      </c>
      <c r="U1238">
        <v>8.5</v>
      </c>
      <c r="W1238">
        <v>1.23</v>
      </c>
      <c r="X1238">
        <v>1</v>
      </c>
      <c r="Y1238">
        <v>7</v>
      </c>
      <c r="Z1238">
        <v>9.8800000000000008</v>
      </c>
      <c r="AA1238">
        <v>9.8800000000000008</v>
      </c>
      <c r="AB1238">
        <v>0.39500000000000002</v>
      </c>
      <c r="AC1238">
        <v>1.87</v>
      </c>
      <c r="AE1238">
        <v>3</v>
      </c>
      <c r="AF1238" t="s">
        <v>2846</v>
      </c>
      <c r="AG1238">
        <v>60</v>
      </c>
      <c r="AK1238" t="s">
        <v>291</v>
      </c>
      <c r="AM1238" t="s">
        <v>98</v>
      </c>
      <c r="AN1238" t="s">
        <v>98</v>
      </c>
      <c r="AO1238" t="s">
        <v>291</v>
      </c>
      <c r="AP1238" t="s">
        <v>99</v>
      </c>
      <c r="AQ1238" t="s">
        <v>102</v>
      </c>
      <c r="AV1238" t="s">
        <v>98</v>
      </c>
      <c r="AX1238" t="s">
        <v>227</v>
      </c>
      <c r="AZ1238" t="s">
        <v>109</v>
      </c>
      <c r="BF1238" t="s">
        <v>4083</v>
      </c>
      <c r="BG1238" t="s">
        <v>98</v>
      </c>
      <c r="BH1238" t="s">
        <v>98</v>
      </c>
      <c r="BI1238" t="s">
        <v>98</v>
      </c>
      <c r="BK1238" t="s">
        <v>138</v>
      </c>
      <c r="CA1238" t="s">
        <v>4077</v>
      </c>
      <c r="CB1238" t="s">
        <v>227</v>
      </c>
      <c r="CL1238" t="s">
        <v>98</v>
      </c>
      <c r="CM1238" t="s">
        <v>98</v>
      </c>
      <c r="CN1238" t="s">
        <v>349</v>
      </c>
      <c r="CO1238" s="1">
        <v>40484</v>
      </c>
      <c r="CP1238" s="1">
        <v>43595</v>
      </c>
    </row>
    <row r="1239" spans="1:94" x14ac:dyDescent="0.25">
      <c r="A1239" s="4" t="s">
        <v>4084</v>
      </c>
      <c r="B1239" t="str">
        <f xml:space="preserve"> "" &amp; 706411040610</f>
        <v>706411040610</v>
      </c>
      <c r="C1239" t="s">
        <v>3872</v>
      </c>
      <c r="D1239" t="s">
        <v>4085</v>
      </c>
      <c r="E1239" t="s">
        <v>2791</v>
      </c>
      <c r="F1239" t="s">
        <v>135</v>
      </c>
      <c r="G1239">
        <v>1</v>
      </c>
      <c r="H1239">
        <v>1</v>
      </c>
      <c r="I1239" t="s">
        <v>97</v>
      </c>
      <c r="J1239" s="32">
        <v>21.95</v>
      </c>
      <c r="K1239" s="32">
        <v>65.849999999999994</v>
      </c>
      <c r="L1239">
        <v>0</v>
      </c>
      <c r="N1239">
        <v>0</v>
      </c>
      <c r="S1239">
        <v>3</v>
      </c>
      <c r="T1239">
        <v>9.8800000000000008</v>
      </c>
      <c r="U1239">
        <v>8.5</v>
      </c>
      <c r="W1239">
        <v>1.23</v>
      </c>
      <c r="X1239">
        <v>1</v>
      </c>
      <c r="Y1239">
        <v>7</v>
      </c>
      <c r="Z1239">
        <v>9.8800000000000008</v>
      </c>
      <c r="AA1239">
        <v>9.8800000000000008</v>
      </c>
      <c r="AB1239">
        <v>0.39500000000000002</v>
      </c>
      <c r="AC1239">
        <v>0.85</v>
      </c>
      <c r="AE1239">
        <v>3</v>
      </c>
      <c r="AF1239" t="s">
        <v>2846</v>
      </c>
      <c r="AG1239">
        <v>60</v>
      </c>
      <c r="AK1239" t="s">
        <v>291</v>
      </c>
      <c r="AM1239" t="s">
        <v>98</v>
      </c>
      <c r="AN1239" t="s">
        <v>98</v>
      </c>
      <c r="AO1239" t="s">
        <v>291</v>
      </c>
      <c r="AP1239" t="s">
        <v>99</v>
      </c>
      <c r="AQ1239" t="s">
        <v>102</v>
      </c>
      <c r="AV1239" t="s">
        <v>98</v>
      </c>
      <c r="AX1239" t="s">
        <v>261</v>
      </c>
      <c r="AZ1239" t="s">
        <v>109</v>
      </c>
      <c r="BF1239" t="s">
        <v>4086</v>
      </c>
      <c r="BG1239" t="s">
        <v>98</v>
      </c>
      <c r="BH1239" t="s">
        <v>98</v>
      </c>
      <c r="BI1239" t="s">
        <v>98</v>
      </c>
      <c r="BK1239" t="s">
        <v>138</v>
      </c>
      <c r="CA1239" t="s">
        <v>4077</v>
      </c>
      <c r="CB1239" t="s">
        <v>261</v>
      </c>
      <c r="CL1239" t="s">
        <v>98</v>
      </c>
      <c r="CM1239" t="s">
        <v>98</v>
      </c>
      <c r="CN1239" t="s">
        <v>349</v>
      </c>
      <c r="CO1239" s="1">
        <v>40484</v>
      </c>
      <c r="CP1239" s="1">
        <v>43595</v>
      </c>
    </row>
    <row r="1240" spans="1:94" x14ac:dyDescent="0.25">
      <c r="A1240" s="4" t="s">
        <v>4087</v>
      </c>
      <c r="B1240" t="str">
        <f xml:space="preserve"> "" &amp; 706411040702</f>
        <v>706411040702</v>
      </c>
      <c r="C1240" t="s">
        <v>3872</v>
      </c>
      <c r="D1240" t="s">
        <v>4458</v>
      </c>
      <c r="E1240" t="s">
        <v>2918</v>
      </c>
      <c r="F1240" t="s">
        <v>135</v>
      </c>
      <c r="G1240">
        <v>1</v>
      </c>
      <c r="H1240">
        <v>1</v>
      </c>
      <c r="I1240" t="s">
        <v>97</v>
      </c>
      <c r="J1240" s="32">
        <v>19.95</v>
      </c>
      <c r="K1240" s="32">
        <v>59.85</v>
      </c>
      <c r="L1240">
        <v>0</v>
      </c>
      <c r="N1240">
        <v>0</v>
      </c>
      <c r="S1240">
        <v>2.63</v>
      </c>
      <c r="T1240">
        <v>7.38</v>
      </c>
      <c r="U1240">
        <v>7.38</v>
      </c>
      <c r="W1240">
        <v>4.2300000000000004</v>
      </c>
      <c r="X1240">
        <v>1</v>
      </c>
      <c r="Y1240">
        <v>4.88</v>
      </c>
      <c r="Z1240">
        <v>8.6300000000000008</v>
      </c>
      <c r="AA1240">
        <v>8.6300000000000008</v>
      </c>
      <c r="AB1240">
        <v>0.21</v>
      </c>
      <c r="AC1240">
        <v>7.47</v>
      </c>
      <c r="AE1240">
        <v>3</v>
      </c>
      <c r="AF1240" t="s">
        <v>2846</v>
      </c>
      <c r="AG1240">
        <v>60</v>
      </c>
      <c r="AK1240" t="s">
        <v>291</v>
      </c>
      <c r="AM1240" t="s">
        <v>98</v>
      </c>
      <c r="AN1240" t="s">
        <v>291</v>
      </c>
      <c r="AO1240" t="s">
        <v>98</v>
      </c>
      <c r="AP1240" t="s">
        <v>99</v>
      </c>
      <c r="AQ1240" t="s">
        <v>102</v>
      </c>
      <c r="AV1240" t="s">
        <v>98</v>
      </c>
      <c r="AX1240" t="s">
        <v>136</v>
      </c>
      <c r="AZ1240" t="s">
        <v>109</v>
      </c>
      <c r="BF1240" t="s">
        <v>4088</v>
      </c>
      <c r="BG1240" t="s">
        <v>98</v>
      </c>
      <c r="BH1240" t="s">
        <v>98</v>
      </c>
      <c r="BI1240" t="s">
        <v>98</v>
      </c>
      <c r="BK1240" t="s">
        <v>138</v>
      </c>
      <c r="CA1240" t="s">
        <v>4089</v>
      </c>
      <c r="CB1240" t="s">
        <v>136</v>
      </c>
      <c r="CL1240" t="s">
        <v>98</v>
      </c>
      <c r="CM1240" t="s">
        <v>98</v>
      </c>
      <c r="CN1240" t="s">
        <v>2176</v>
      </c>
      <c r="CO1240" s="1">
        <v>40598</v>
      </c>
      <c r="CP1240" s="1">
        <v>43595</v>
      </c>
    </row>
    <row r="1241" spans="1:94" x14ac:dyDescent="0.25">
      <c r="A1241" s="4" t="s">
        <v>4090</v>
      </c>
      <c r="B1241" t="str">
        <f xml:space="preserve"> "" &amp; 706411050060</f>
        <v>706411050060</v>
      </c>
      <c r="C1241" t="s">
        <v>3872</v>
      </c>
      <c r="D1241" t="s">
        <v>4091</v>
      </c>
      <c r="E1241" t="s">
        <v>2918</v>
      </c>
      <c r="F1241" t="s">
        <v>135</v>
      </c>
      <c r="G1241">
        <v>1</v>
      </c>
      <c r="H1241">
        <v>1</v>
      </c>
      <c r="I1241" t="s">
        <v>97</v>
      </c>
      <c r="J1241" s="32">
        <v>19.95</v>
      </c>
      <c r="K1241" s="32">
        <v>59.85</v>
      </c>
      <c r="L1241">
        <v>0</v>
      </c>
      <c r="N1241">
        <v>0</v>
      </c>
      <c r="S1241">
        <v>2.63</v>
      </c>
      <c r="T1241">
        <v>7.38</v>
      </c>
      <c r="U1241">
        <v>7.38</v>
      </c>
      <c r="W1241">
        <v>1.92</v>
      </c>
      <c r="X1241">
        <v>1</v>
      </c>
      <c r="Y1241">
        <v>4.88</v>
      </c>
      <c r="Z1241">
        <v>8.6300000000000008</v>
      </c>
      <c r="AA1241">
        <v>8.6300000000000008</v>
      </c>
      <c r="AB1241">
        <v>0.21</v>
      </c>
      <c r="AC1241">
        <v>7.47</v>
      </c>
      <c r="AE1241">
        <v>3</v>
      </c>
      <c r="AF1241" t="s">
        <v>2350</v>
      </c>
      <c r="AG1241">
        <v>60</v>
      </c>
      <c r="AK1241" t="s">
        <v>98</v>
      </c>
      <c r="AM1241" t="s">
        <v>98</v>
      </c>
      <c r="AN1241" t="s">
        <v>98</v>
      </c>
      <c r="AO1241" t="s">
        <v>98</v>
      </c>
      <c r="AP1241" t="s">
        <v>99</v>
      </c>
      <c r="AQ1241" t="s">
        <v>102</v>
      </c>
      <c r="AV1241" t="s">
        <v>98</v>
      </c>
      <c r="AX1241" t="s">
        <v>197</v>
      </c>
      <c r="AZ1241" t="s">
        <v>109</v>
      </c>
      <c r="BF1241" t="s">
        <v>4092</v>
      </c>
      <c r="BG1241" t="s">
        <v>98</v>
      </c>
      <c r="BH1241" t="s">
        <v>98</v>
      </c>
      <c r="BI1241" t="s">
        <v>98</v>
      </c>
      <c r="BK1241" t="s">
        <v>138</v>
      </c>
      <c r="CA1241" t="s">
        <v>4093</v>
      </c>
      <c r="CB1241" t="s">
        <v>197</v>
      </c>
      <c r="CL1241" t="s">
        <v>98</v>
      </c>
      <c r="CM1241" t="s">
        <v>98</v>
      </c>
      <c r="CN1241" t="s">
        <v>2176</v>
      </c>
      <c r="CO1241" s="1">
        <v>40598</v>
      </c>
      <c r="CP1241" s="1">
        <v>43595</v>
      </c>
    </row>
    <row r="1242" spans="1:94" x14ac:dyDescent="0.25">
      <c r="A1242" s="4" t="s">
        <v>4094</v>
      </c>
      <c r="B1242" t="str">
        <f xml:space="preserve"> "" &amp; 706411039935</f>
        <v>706411039935</v>
      </c>
      <c r="C1242" t="s">
        <v>3872</v>
      </c>
      <c r="D1242" t="s">
        <v>4095</v>
      </c>
      <c r="E1242" t="s">
        <v>2918</v>
      </c>
      <c r="F1242" t="s">
        <v>135</v>
      </c>
      <c r="G1242">
        <v>1</v>
      </c>
      <c r="H1242">
        <v>1</v>
      </c>
      <c r="I1242" t="s">
        <v>97</v>
      </c>
      <c r="J1242" s="32">
        <v>19.95</v>
      </c>
      <c r="K1242" s="32">
        <v>59.85</v>
      </c>
      <c r="L1242">
        <v>0</v>
      </c>
      <c r="N1242">
        <v>0</v>
      </c>
      <c r="S1242">
        <v>2.63</v>
      </c>
      <c r="T1242">
        <v>7.38</v>
      </c>
      <c r="U1242">
        <v>7.38</v>
      </c>
      <c r="W1242">
        <v>4.2300000000000004</v>
      </c>
      <c r="X1242">
        <v>1</v>
      </c>
      <c r="Y1242">
        <v>4.88</v>
      </c>
      <c r="Z1242">
        <v>8.6300000000000008</v>
      </c>
      <c r="AA1242">
        <v>8.6300000000000008</v>
      </c>
      <c r="AB1242">
        <v>0.21</v>
      </c>
      <c r="AC1242">
        <v>7.47</v>
      </c>
      <c r="AE1242">
        <v>3</v>
      </c>
      <c r="AF1242" t="s">
        <v>2846</v>
      </c>
      <c r="AG1242">
        <v>60</v>
      </c>
      <c r="AK1242" t="s">
        <v>291</v>
      </c>
      <c r="AM1242" t="s">
        <v>98</v>
      </c>
      <c r="AN1242" t="s">
        <v>291</v>
      </c>
      <c r="AO1242" t="s">
        <v>98</v>
      </c>
      <c r="AP1242" t="s">
        <v>99</v>
      </c>
      <c r="AQ1242" t="s">
        <v>102</v>
      </c>
      <c r="AV1242" t="s">
        <v>98</v>
      </c>
      <c r="AX1242" t="s">
        <v>201</v>
      </c>
      <c r="AZ1242" t="s">
        <v>109</v>
      </c>
      <c r="BF1242" t="s">
        <v>4096</v>
      </c>
      <c r="BG1242" t="s">
        <v>98</v>
      </c>
      <c r="BH1242" t="s">
        <v>98</v>
      </c>
      <c r="BI1242" t="s">
        <v>98</v>
      </c>
      <c r="BK1242" t="s">
        <v>138</v>
      </c>
      <c r="CA1242" t="s">
        <v>4089</v>
      </c>
      <c r="CB1242" t="s">
        <v>201</v>
      </c>
      <c r="CL1242" t="s">
        <v>98</v>
      </c>
      <c r="CM1242" t="s">
        <v>98</v>
      </c>
      <c r="CN1242" t="s">
        <v>2176</v>
      </c>
      <c r="CO1242" s="1">
        <v>40598</v>
      </c>
      <c r="CP1242" s="1">
        <v>43595</v>
      </c>
    </row>
    <row r="1243" spans="1:94" x14ac:dyDescent="0.25">
      <c r="A1243" s="4" t="s">
        <v>4097</v>
      </c>
      <c r="B1243" t="str">
        <f xml:space="preserve"> "" &amp; 706411040719</f>
        <v>706411040719</v>
      </c>
      <c r="C1243" t="s">
        <v>3872</v>
      </c>
      <c r="D1243" t="s">
        <v>4098</v>
      </c>
      <c r="E1243" t="s">
        <v>2918</v>
      </c>
      <c r="F1243" t="s">
        <v>135</v>
      </c>
      <c r="G1243">
        <v>1</v>
      </c>
      <c r="H1243">
        <v>1</v>
      </c>
      <c r="I1243" t="s">
        <v>97</v>
      </c>
      <c r="J1243" s="32">
        <v>19.95</v>
      </c>
      <c r="K1243" s="32">
        <v>59.85</v>
      </c>
      <c r="L1243">
        <v>0</v>
      </c>
      <c r="N1243">
        <v>0</v>
      </c>
      <c r="S1243">
        <v>2.63</v>
      </c>
      <c r="T1243">
        <v>7.38</v>
      </c>
      <c r="U1243">
        <v>7.38</v>
      </c>
      <c r="W1243">
        <v>4.2300000000000004</v>
      </c>
      <c r="X1243">
        <v>1</v>
      </c>
      <c r="Y1243">
        <v>4.88</v>
      </c>
      <c r="Z1243">
        <v>8.6300000000000008</v>
      </c>
      <c r="AA1243">
        <v>8.6300000000000008</v>
      </c>
      <c r="AB1243">
        <v>0.21</v>
      </c>
      <c r="AC1243">
        <v>7.47</v>
      </c>
      <c r="AE1243">
        <v>3</v>
      </c>
      <c r="AF1243" t="s">
        <v>2846</v>
      </c>
      <c r="AG1243">
        <v>60</v>
      </c>
      <c r="AK1243" t="s">
        <v>291</v>
      </c>
      <c r="AM1243" t="s">
        <v>98</v>
      </c>
      <c r="AN1243" t="s">
        <v>291</v>
      </c>
      <c r="AO1243" t="s">
        <v>98</v>
      </c>
      <c r="AP1243" t="s">
        <v>99</v>
      </c>
      <c r="AQ1243" t="s">
        <v>102</v>
      </c>
      <c r="AV1243" t="s">
        <v>98</v>
      </c>
      <c r="AX1243" t="s">
        <v>227</v>
      </c>
      <c r="AZ1243" t="s">
        <v>109</v>
      </c>
      <c r="BF1243" t="s">
        <v>4099</v>
      </c>
      <c r="BG1243" t="s">
        <v>98</v>
      </c>
      <c r="BH1243" t="s">
        <v>98</v>
      </c>
      <c r="BI1243" t="s">
        <v>98</v>
      </c>
      <c r="BK1243" t="s">
        <v>138</v>
      </c>
      <c r="CA1243" t="s">
        <v>4089</v>
      </c>
      <c r="CB1243" t="s">
        <v>227</v>
      </c>
      <c r="CL1243" t="s">
        <v>98</v>
      </c>
      <c r="CM1243" t="s">
        <v>98</v>
      </c>
      <c r="CN1243" t="s">
        <v>2176</v>
      </c>
      <c r="CO1243" s="1">
        <v>40598</v>
      </c>
      <c r="CP1243" s="1">
        <v>43595</v>
      </c>
    </row>
    <row r="1244" spans="1:94" x14ac:dyDescent="0.25">
      <c r="A1244" s="4" t="s">
        <v>4100</v>
      </c>
      <c r="B1244" t="str">
        <f xml:space="preserve"> "" &amp; 706411039942</f>
        <v>706411039942</v>
      </c>
      <c r="C1244" t="s">
        <v>3872</v>
      </c>
      <c r="D1244" t="s">
        <v>4101</v>
      </c>
      <c r="E1244" t="s">
        <v>2918</v>
      </c>
      <c r="F1244" t="s">
        <v>135</v>
      </c>
      <c r="G1244">
        <v>1</v>
      </c>
      <c r="H1244">
        <v>1</v>
      </c>
      <c r="I1244" t="s">
        <v>97</v>
      </c>
      <c r="J1244" s="32">
        <v>19.95</v>
      </c>
      <c r="K1244" s="32">
        <v>59.85</v>
      </c>
      <c r="L1244">
        <v>0</v>
      </c>
      <c r="N1244">
        <v>0</v>
      </c>
      <c r="S1244">
        <v>2.63</v>
      </c>
      <c r="T1244">
        <v>7.38</v>
      </c>
      <c r="U1244">
        <v>7.38</v>
      </c>
      <c r="W1244">
        <v>4.2300000000000004</v>
      </c>
      <c r="X1244">
        <v>1</v>
      </c>
      <c r="Y1244">
        <v>4.88</v>
      </c>
      <c r="Z1244">
        <v>8.6300000000000008</v>
      </c>
      <c r="AA1244">
        <v>8.6300000000000008</v>
      </c>
      <c r="AB1244">
        <v>0.21</v>
      </c>
      <c r="AC1244">
        <v>7.47</v>
      </c>
      <c r="AK1244" t="s">
        <v>98</v>
      </c>
      <c r="AM1244" t="s">
        <v>98</v>
      </c>
      <c r="AN1244" t="s">
        <v>98</v>
      </c>
      <c r="AO1244" t="s">
        <v>98</v>
      </c>
      <c r="AP1244" t="s">
        <v>99</v>
      </c>
      <c r="AQ1244" t="s">
        <v>102</v>
      </c>
      <c r="AV1244" t="s">
        <v>98</v>
      </c>
      <c r="AX1244" t="s">
        <v>249</v>
      </c>
      <c r="AZ1244" t="s">
        <v>109</v>
      </c>
      <c r="BF1244" t="s">
        <v>4102</v>
      </c>
      <c r="BG1244" t="s">
        <v>98</v>
      </c>
      <c r="BH1244" t="s">
        <v>98</v>
      </c>
      <c r="BI1244" t="s">
        <v>98</v>
      </c>
      <c r="BK1244" t="s">
        <v>138</v>
      </c>
      <c r="CA1244" t="s">
        <v>4089</v>
      </c>
      <c r="CB1244" t="s">
        <v>249</v>
      </c>
      <c r="CL1244" t="s">
        <v>98</v>
      </c>
      <c r="CM1244" t="s">
        <v>98</v>
      </c>
      <c r="CN1244" t="s">
        <v>2176</v>
      </c>
      <c r="CO1244" s="1">
        <v>40603</v>
      </c>
      <c r="CP1244" s="1">
        <v>43595</v>
      </c>
    </row>
    <row r="1245" spans="1:94" x14ac:dyDescent="0.25">
      <c r="A1245" s="4" t="s">
        <v>4103</v>
      </c>
      <c r="B1245" t="str">
        <f xml:space="preserve"> "" &amp; 706411039928</f>
        <v>706411039928</v>
      </c>
      <c r="C1245" t="s">
        <v>3872</v>
      </c>
      <c r="D1245" t="s">
        <v>4104</v>
      </c>
      <c r="E1245" t="s">
        <v>2918</v>
      </c>
      <c r="F1245" t="s">
        <v>135</v>
      </c>
      <c r="G1245">
        <v>1</v>
      </c>
      <c r="H1245">
        <v>1</v>
      </c>
      <c r="I1245" t="s">
        <v>97</v>
      </c>
      <c r="J1245" s="32">
        <v>19.95</v>
      </c>
      <c r="K1245" s="32">
        <v>59.85</v>
      </c>
      <c r="L1245">
        <v>0</v>
      </c>
      <c r="N1245">
        <v>0</v>
      </c>
      <c r="S1245">
        <v>2.63</v>
      </c>
      <c r="T1245">
        <v>7.38</v>
      </c>
      <c r="U1245">
        <v>7.38</v>
      </c>
      <c r="W1245">
        <v>4.2300000000000004</v>
      </c>
      <c r="X1245">
        <v>1</v>
      </c>
      <c r="Y1245">
        <v>4.88</v>
      </c>
      <c r="Z1245">
        <v>8.6300000000000008</v>
      </c>
      <c r="AA1245">
        <v>8.6300000000000008</v>
      </c>
      <c r="AB1245">
        <v>0.21</v>
      </c>
      <c r="AC1245">
        <v>7.47</v>
      </c>
      <c r="AE1245">
        <v>3</v>
      </c>
      <c r="AF1245" t="s">
        <v>2846</v>
      </c>
      <c r="AG1245">
        <v>60</v>
      </c>
      <c r="AK1245" t="s">
        <v>291</v>
      </c>
      <c r="AM1245" t="s">
        <v>98</v>
      </c>
      <c r="AN1245" t="s">
        <v>291</v>
      </c>
      <c r="AO1245" t="s">
        <v>98</v>
      </c>
      <c r="AP1245" t="s">
        <v>99</v>
      </c>
      <c r="AQ1245" t="s">
        <v>102</v>
      </c>
      <c r="AV1245" t="s">
        <v>98</v>
      </c>
      <c r="AX1245" t="s">
        <v>253</v>
      </c>
      <c r="AZ1245" t="s">
        <v>109</v>
      </c>
      <c r="BF1245" t="s">
        <v>4105</v>
      </c>
      <c r="BG1245" t="s">
        <v>98</v>
      </c>
      <c r="BH1245" t="s">
        <v>98</v>
      </c>
      <c r="BI1245" t="s">
        <v>98</v>
      </c>
      <c r="BK1245" t="s">
        <v>138</v>
      </c>
      <c r="CA1245" t="s">
        <v>4089</v>
      </c>
      <c r="CB1245" t="s">
        <v>253</v>
      </c>
      <c r="CL1245" t="s">
        <v>98</v>
      </c>
      <c r="CM1245" t="s">
        <v>98</v>
      </c>
      <c r="CN1245" t="s">
        <v>2176</v>
      </c>
      <c r="CO1245" s="1">
        <v>40598</v>
      </c>
      <c r="CP1245" s="1">
        <v>43595</v>
      </c>
    </row>
    <row r="1246" spans="1:94" x14ac:dyDescent="0.25">
      <c r="A1246" s="4" t="s">
        <v>4106</v>
      </c>
      <c r="B1246" t="str">
        <f xml:space="preserve"> "" &amp; 706411059209</f>
        <v>706411059209</v>
      </c>
      <c r="C1246" t="s">
        <v>4107</v>
      </c>
      <c r="D1246" t="s">
        <v>4108</v>
      </c>
      <c r="E1246" t="s">
        <v>3117</v>
      </c>
      <c r="F1246" t="s">
        <v>135</v>
      </c>
      <c r="G1246">
        <v>1</v>
      </c>
      <c r="H1246">
        <v>1</v>
      </c>
      <c r="I1246" t="s">
        <v>97</v>
      </c>
      <c r="J1246" s="32">
        <v>49.95</v>
      </c>
      <c r="K1246" s="32">
        <v>149.85</v>
      </c>
      <c r="L1246">
        <v>0</v>
      </c>
      <c r="N1246">
        <v>0</v>
      </c>
      <c r="S1246">
        <v>2.75</v>
      </c>
      <c r="T1246">
        <v>6.75</v>
      </c>
      <c r="U1246">
        <v>6.75</v>
      </c>
      <c r="W1246">
        <v>2.5099999999999998</v>
      </c>
      <c r="X1246">
        <v>1</v>
      </c>
      <c r="Y1246">
        <v>5.5</v>
      </c>
      <c r="Z1246">
        <v>11.25</v>
      </c>
      <c r="AA1246">
        <v>8.25</v>
      </c>
      <c r="AB1246">
        <v>0.29499999999999998</v>
      </c>
      <c r="AC1246">
        <v>3.22</v>
      </c>
      <c r="AE1246">
        <v>1</v>
      </c>
      <c r="AF1246" t="s">
        <v>2141</v>
      </c>
      <c r="AG1246">
        <v>16</v>
      </c>
      <c r="AK1246" t="s">
        <v>291</v>
      </c>
      <c r="AM1246" t="s">
        <v>98</v>
      </c>
      <c r="AN1246" t="s">
        <v>291</v>
      </c>
      <c r="AO1246" t="s">
        <v>98</v>
      </c>
      <c r="AP1246" t="s">
        <v>99</v>
      </c>
      <c r="AQ1246" t="s">
        <v>102</v>
      </c>
      <c r="AV1246" t="s">
        <v>98</v>
      </c>
      <c r="AX1246" t="s">
        <v>150</v>
      </c>
      <c r="AZ1246" t="s">
        <v>535</v>
      </c>
      <c r="BB1246" t="s">
        <v>106</v>
      </c>
      <c r="BC1246" t="s">
        <v>2339</v>
      </c>
      <c r="BF1246" t="s">
        <v>4109</v>
      </c>
      <c r="BG1246" t="s">
        <v>98</v>
      </c>
      <c r="BH1246" t="s">
        <v>98</v>
      </c>
      <c r="BI1246" t="s">
        <v>98</v>
      </c>
      <c r="BK1246" t="s">
        <v>138</v>
      </c>
      <c r="CA1246" t="s">
        <v>4110</v>
      </c>
      <c r="CB1246" t="s">
        <v>150</v>
      </c>
      <c r="CG1246">
        <v>3000</v>
      </c>
      <c r="CH1246">
        <v>96</v>
      </c>
      <c r="CI1246">
        <v>1201.5999999999999</v>
      </c>
      <c r="CJ1246">
        <v>503.7</v>
      </c>
      <c r="CK1246">
        <v>30000</v>
      </c>
      <c r="CL1246" t="s">
        <v>291</v>
      </c>
      <c r="CM1246" t="s">
        <v>98</v>
      </c>
      <c r="CN1246" t="s">
        <v>3870</v>
      </c>
      <c r="CO1246" s="1">
        <v>43073</v>
      </c>
      <c r="CP1246" s="1">
        <v>43595</v>
      </c>
    </row>
    <row r="1247" spans="1:94" x14ac:dyDescent="0.25">
      <c r="A1247" s="4" t="s">
        <v>4111</v>
      </c>
      <c r="B1247" t="str">
        <f xml:space="preserve"> "" &amp; 706411061615</f>
        <v>706411061615</v>
      </c>
      <c r="C1247" t="s">
        <v>4112</v>
      </c>
      <c r="D1247" t="s">
        <v>4108</v>
      </c>
      <c r="F1247" t="s">
        <v>135</v>
      </c>
      <c r="G1247">
        <v>1</v>
      </c>
      <c r="H1247">
        <v>1</v>
      </c>
      <c r="I1247" t="s">
        <v>97</v>
      </c>
      <c r="J1247" s="32">
        <v>49.95</v>
      </c>
      <c r="K1247" s="32">
        <v>149.85</v>
      </c>
      <c r="L1247">
        <v>0</v>
      </c>
      <c r="N1247">
        <v>0</v>
      </c>
      <c r="S1247">
        <v>2.75</v>
      </c>
      <c r="T1247">
        <v>6.75</v>
      </c>
      <c r="U1247">
        <v>6.75</v>
      </c>
      <c r="W1247">
        <v>2.5099999999999998</v>
      </c>
      <c r="X1247">
        <v>1</v>
      </c>
      <c r="Y1247">
        <v>5.5</v>
      </c>
      <c r="Z1247">
        <v>11.25</v>
      </c>
      <c r="AA1247">
        <v>8.25</v>
      </c>
      <c r="AB1247">
        <v>0.29499999999999998</v>
      </c>
      <c r="AC1247">
        <v>3.22</v>
      </c>
      <c r="AE1247">
        <v>1</v>
      </c>
      <c r="AF1247" t="s">
        <v>2141</v>
      </c>
      <c r="AG1247">
        <v>16</v>
      </c>
      <c r="AK1247" t="s">
        <v>291</v>
      </c>
      <c r="AM1247" t="s">
        <v>98</v>
      </c>
      <c r="AN1247" t="s">
        <v>291</v>
      </c>
      <c r="AO1247" t="s">
        <v>98</v>
      </c>
      <c r="AP1247" t="s">
        <v>99</v>
      </c>
      <c r="AQ1247" t="s">
        <v>102</v>
      </c>
      <c r="AV1247" t="s">
        <v>98</v>
      </c>
      <c r="AX1247" t="s">
        <v>179</v>
      </c>
      <c r="BB1247" t="s">
        <v>106</v>
      </c>
      <c r="BC1247" t="s">
        <v>2339</v>
      </c>
      <c r="BF1247" t="s">
        <v>4113</v>
      </c>
      <c r="BG1247" t="s">
        <v>98</v>
      </c>
      <c r="BH1247" t="s">
        <v>98</v>
      </c>
      <c r="BI1247" t="s">
        <v>98</v>
      </c>
      <c r="BK1247" t="s">
        <v>138</v>
      </c>
      <c r="CA1247" t="s">
        <v>4110</v>
      </c>
      <c r="CB1247" t="s">
        <v>179</v>
      </c>
      <c r="CG1247">
        <v>3000</v>
      </c>
      <c r="CH1247">
        <v>96</v>
      </c>
      <c r="CI1247">
        <v>1201.5999999999999</v>
      </c>
      <c r="CJ1247">
        <v>503.7</v>
      </c>
      <c r="CK1247">
        <v>30000</v>
      </c>
      <c r="CL1247" t="s">
        <v>291</v>
      </c>
      <c r="CM1247" t="s">
        <v>98</v>
      </c>
      <c r="CN1247" t="s">
        <v>3870</v>
      </c>
      <c r="CO1247" s="1">
        <v>43421</v>
      </c>
      <c r="CP1247" s="1">
        <v>43595</v>
      </c>
    </row>
    <row r="1248" spans="1:94" x14ac:dyDescent="0.25">
      <c r="A1248" s="4" t="s">
        <v>4114</v>
      </c>
      <c r="B1248" t="str">
        <f xml:space="preserve"> "" &amp; 706411059216</f>
        <v>706411059216</v>
      </c>
      <c r="C1248" t="s">
        <v>4107</v>
      </c>
      <c r="D1248" t="s">
        <v>4108</v>
      </c>
      <c r="E1248" t="s">
        <v>3117</v>
      </c>
      <c r="F1248" t="s">
        <v>135</v>
      </c>
      <c r="G1248">
        <v>1</v>
      </c>
      <c r="H1248">
        <v>1</v>
      </c>
      <c r="I1248" t="s">
        <v>97</v>
      </c>
      <c r="J1248" s="32">
        <v>49.95</v>
      </c>
      <c r="K1248" s="32">
        <v>149.85</v>
      </c>
      <c r="L1248">
        <v>0</v>
      </c>
      <c r="N1248">
        <v>0</v>
      </c>
      <c r="S1248">
        <v>2.75</v>
      </c>
      <c r="T1248">
        <v>6.75</v>
      </c>
      <c r="U1248">
        <v>6.75</v>
      </c>
      <c r="W1248">
        <v>2.5099999999999998</v>
      </c>
      <c r="X1248">
        <v>1</v>
      </c>
      <c r="Y1248">
        <v>5.5</v>
      </c>
      <c r="Z1248">
        <v>11.25</v>
      </c>
      <c r="AA1248">
        <v>8.25</v>
      </c>
      <c r="AB1248">
        <v>0.29499999999999998</v>
      </c>
      <c r="AC1248">
        <v>3.22</v>
      </c>
      <c r="AE1248">
        <v>1</v>
      </c>
      <c r="AF1248" t="s">
        <v>2141</v>
      </c>
      <c r="AG1248">
        <v>16</v>
      </c>
      <c r="AK1248" t="s">
        <v>291</v>
      </c>
      <c r="AM1248" t="s">
        <v>98</v>
      </c>
      <c r="AN1248" t="s">
        <v>291</v>
      </c>
      <c r="AO1248" t="s">
        <v>98</v>
      </c>
      <c r="AP1248" t="s">
        <v>99</v>
      </c>
      <c r="AQ1248" t="s">
        <v>102</v>
      </c>
      <c r="AV1248" t="s">
        <v>98</v>
      </c>
      <c r="AX1248" t="s">
        <v>703</v>
      </c>
      <c r="AZ1248" t="s">
        <v>535</v>
      </c>
      <c r="BB1248" t="s">
        <v>106</v>
      </c>
      <c r="BC1248" t="s">
        <v>2339</v>
      </c>
      <c r="BF1248" t="s">
        <v>4115</v>
      </c>
      <c r="BG1248" t="s">
        <v>98</v>
      </c>
      <c r="BH1248" t="s">
        <v>98</v>
      </c>
      <c r="BI1248" t="s">
        <v>98</v>
      </c>
      <c r="BK1248" t="s">
        <v>138</v>
      </c>
      <c r="CA1248" t="s">
        <v>4110</v>
      </c>
      <c r="CB1248" t="s">
        <v>703</v>
      </c>
      <c r="CG1248">
        <v>3000</v>
      </c>
      <c r="CH1248">
        <v>96</v>
      </c>
      <c r="CI1248">
        <v>1201.5999999999999</v>
      </c>
      <c r="CJ1248">
        <v>503.7</v>
      </c>
      <c r="CK1248">
        <v>30000</v>
      </c>
      <c r="CL1248" t="s">
        <v>291</v>
      </c>
      <c r="CM1248" t="s">
        <v>98</v>
      </c>
      <c r="CN1248" t="s">
        <v>3870</v>
      </c>
      <c r="CO1248" s="1">
        <v>43073</v>
      </c>
      <c r="CP1248" s="1">
        <v>43595</v>
      </c>
    </row>
    <row r="1249" spans="1:94" x14ac:dyDescent="0.25">
      <c r="A1249" s="4" t="s">
        <v>4116</v>
      </c>
      <c r="B1249" t="str">
        <f xml:space="preserve"> "" &amp; 706411059223</f>
        <v>706411059223</v>
      </c>
      <c r="C1249" t="s">
        <v>4107</v>
      </c>
      <c r="D1249" t="s">
        <v>4108</v>
      </c>
      <c r="E1249" t="s">
        <v>3117</v>
      </c>
      <c r="F1249" t="s">
        <v>135</v>
      </c>
      <c r="G1249">
        <v>1</v>
      </c>
      <c r="H1249">
        <v>1</v>
      </c>
      <c r="I1249" t="s">
        <v>97</v>
      </c>
      <c r="J1249" s="32">
        <v>49.95</v>
      </c>
      <c r="K1249" s="32">
        <v>149.85</v>
      </c>
      <c r="L1249">
        <v>0</v>
      </c>
      <c r="N1249">
        <v>0</v>
      </c>
      <c r="S1249">
        <v>2.75</v>
      </c>
      <c r="T1249">
        <v>6.75</v>
      </c>
      <c r="U1249">
        <v>6.75</v>
      </c>
      <c r="W1249">
        <v>2.5099999999999998</v>
      </c>
      <c r="X1249">
        <v>1</v>
      </c>
      <c r="Y1249">
        <v>5.5</v>
      </c>
      <c r="Z1249">
        <v>11.25</v>
      </c>
      <c r="AA1249">
        <v>8.25</v>
      </c>
      <c r="AB1249">
        <v>0.29499999999999998</v>
      </c>
      <c r="AC1249">
        <v>3.22</v>
      </c>
      <c r="AE1249">
        <v>1</v>
      </c>
      <c r="AF1249" t="s">
        <v>2141</v>
      </c>
      <c r="AG1249">
        <v>16</v>
      </c>
      <c r="AK1249" t="s">
        <v>291</v>
      </c>
      <c r="AM1249" t="s">
        <v>98</v>
      </c>
      <c r="AN1249" t="s">
        <v>291</v>
      </c>
      <c r="AO1249" t="s">
        <v>98</v>
      </c>
      <c r="AP1249" t="s">
        <v>99</v>
      </c>
      <c r="AQ1249" t="s">
        <v>102</v>
      </c>
      <c r="AV1249" t="s">
        <v>98</v>
      </c>
      <c r="AX1249" t="s">
        <v>245</v>
      </c>
      <c r="AZ1249" t="s">
        <v>535</v>
      </c>
      <c r="BB1249" t="s">
        <v>106</v>
      </c>
      <c r="BC1249" t="s">
        <v>2339</v>
      </c>
      <c r="BF1249" t="s">
        <v>4117</v>
      </c>
      <c r="BG1249" t="s">
        <v>98</v>
      </c>
      <c r="BH1249" t="s">
        <v>98</v>
      </c>
      <c r="BI1249" t="s">
        <v>98</v>
      </c>
      <c r="BK1249" t="s">
        <v>138</v>
      </c>
      <c r="CA1249" t="s">
        <v>4110</v>
      </c>
      <c r="CB1249" t="s">
        <v>245</v>
      </c>
      <c r="CG1249">
        <v>3000</v>
      </c>
      <c r="CH1249">
        <v>96</v>
      </c>
      <c r="CI1249">
        <v>1201.5999999999999</v>
      </c>
      <c r="CJ1249">
        <v>503.7</v>
      </c>
      <c r="CK1249">
        <v>30000</v>
      </c>
      <c r="CL1249" t="s">
        <v>291</v>
      </c>
      <c r="CM1249" t="s">
        <v>98</v>
      </c>
      <c r="CN1249" t="s">
        <v>3870</v>
      </c>
      <c r="CO1249" s="1">
        <v>43073</v>
      </c>
      <c r="CP1249" s="1">
        <v>43595</v>
      </c>
    </row>
    <row r="1250" spans="1:94" x14ac:dyDescent="0.25">
      <c r="A1250" s="4" t="s">
        <v>4118</v>
      </c>
      <c r="B1250" t="str">
        <f xml:space="preserve"> "" &amp; 706411061899</f>
        <v>706411061899</v>
      </c>
      <c r="C1250" t="s">
        <v>4119</v>
      </c>
      <c r="D1250" t="s">
        <v>4108</v>
      </c>
      <c r="E1250" t="s">
        <v>3117</v>
      </c>
      <c r="F1250" t="s">
        <v>135</v>
      </c>
      <c r="G1250">
        <v>1</v>
      </c>
      <c r="H1250">
        <v>1</v>
      </c>
      <c r="I1250" t="s">
        <v>97</v>
      </c>
      <c r="J1250" s="32">
        <v>49.95</v>
      </c>
      <c r="K1250" s="32">
        <v>149.85</v>
      </c>
      <c r="L1250">
        <v>0</v>
      </c>
      <c r="N1250">
        <v>0</v>
      </c>
      <c r="S1250">
        <v>2.75</v>
      </c>
      <c r="T1250">
        <v>6.75</v>
      </c>
      <c r="U1250">
        <v>6.75</v>
      </c>
      <c r="W1250">
        <v>2.5099999999999998</v>
      </c>
      <c r="X1250">
        <v>1</v>
      </c>
      <c r="Y1250">
        <v>5.5</v>
      </c>
      <c r="Z1250">
        <v>11.25</v>
      </c>
      <c r="AA1250">
        <v>8.25</v>
      </c>
      <c r="AB1250">
        <v>0.29499999999999998</v>
      </c>
      <c r="AC1250">
        <v>3.22</v>
      </c>
      <c r="AE1250">
        <v>1</v>
      </c>
      <c r="AF1250" t="s">
        <v>2141</v>
      </c>
      <c r="AG1250">
        <v>16</v>
      </c>
      <c r="AK1250" t="s">
        <v>291</v>
      </c>
      <c r="AM1250" t="s">
        <v>98</v>
      </c>
      <c r="AN1250" t="s">
        <v>291</v>
      </c>
      <c r="AO1250" t="s">
        <v>98</v>
      </c>
      <c r="AP1250" t="s">
        <v>99</v>
      </c>
      <c r="AQ1250" t="s">
        <v>102</v>
      </c>
      <c r="AV1250" t="s">
        <v>98</v>
      </c>
      <c r="AX1250" t="s">
        <v>306</v>
      </c>
      <c r="AZ1250" t="s">
        <v>535</v>
      </c>
      <c r="BC1250" t="s">
        <v>2436</v>
      </c>
      <c r="BF1250" t="s">
        <v>4120</v>
      </c>
      <c r="BG1250" t="s">
        <v>98</v>
      </c>
      <c r="BH1250" t="s">
        <v>98</v>
      </c>
      <c r="BI1250" t="s">
        <v>98</v>
      </c>
      <c r="BK1250" t="s">
        <v>138</v>
      </c>
      <c r="CA1250" t="s">
        <v>4110</v>
      </c>
      <c r="CB1250" t="s">
        <v>306</v>
      </c>
      <c r="CG1250">
        <v>3000</v>
      </c>
      <c r="CH1250">
        <v>96</v>
      </c>
      <c r="CI1250">
        <v>1201.5999999999999</v>
      </c>
      <c r="CJ1250">
        <v>503.7</v>
      </c>
      <c r="CK1250">
        <v>30000</v>
      </c>
      <c r="CL1250" t="s">
        <v>291</v>
      </c>
      <c r="CM1250" t="s">
        <v>98</v>
      </c>
      <c r="CN1250" t="s">
        <v>4121</v>
      </c>
      <c r="CO1250" s="1">
        <v>43563</v>
      </c>
      <c r="CP1250" s="1">
        <v>43595</v>
      </c>
    </row>
    <row r="1251" spans="1:94" x14ac:dyDescent="0.25">
      <c r="A1251" s="4" t="s">
        <v>4122</v>
      </c>
      <c r="B1251" t="str">
        <f xml:space="preserve"> "" &amp; 706411058721</f>
        <v>706411058721</v>
      </c>
      <c r="C1251" t="s">
        <v>4123</v>
      </c>
      <c r="D1251" t="s">
        <v>4124</v>
      </c>
      <c r="E1251" t="s">
        <v>3267</v>
      </c>
      <c r="F1251" t="s">
        <v>135</v>
      </c>
      <c r="G1251">
        <v>1</v>
      </c>
      <c r="H1251">
        <v>1</v>
      </c>
      <c r="I1251" t="s">
        <v>97</v>
      </c>
      <c r="J1251" s="32">
        <v>49.95</v>
      </c>
      <c r="K1251" s="32">
        <v>149.85</v>
      </c>
      <c r="L1251">
        <v>0</v>
      </c>
      <c r="N1251">
        <v>0</v>
      </c>
      <c r="S1251">
        <v>1.75</v>
      </c>
      <c r="T1251">
        <v>5</v>
      </c>
      <c r="U1251">
        <v>5</v>
      </c>
      <c r="W1251">
        <v>0.71</v>
      </c>
      <c r="X1251">
        <v>1</v>
      </c>
      <c r="Y1251">
        <v>2.25</v>
      </c>
      <c r="Z1251">
        <v>6.25</v>
      </c>
      <c r="AA1251">
        <v>6.25</v>
      </c>
      <c r="AB1251">
        <v>5.0999999999999997E-2</v>
      </c>
      <c r="AC1251">
        <v>0.84</v>
      </c>
      <c r="AE1251">
        <v>1</v>
      </c>
      <c r="AF1251" t="s">
        <v>2141</v>
      </c>
      <c r="AG1251">
        <v>20</v>
      </c>
      <c r="AK1251" t="s">
        <v>291</v>
      </c>
      <c r="AM1251" t="s">
        <v>98</v>
      </c>
      <c r="AN1251" t="s">
        <v>291</v>
      </c>
      <c r="AO1251" t="s">
        <v>98</v>
      </c>
      <c r="AP1251" t="s">
        <v>99</v>
      </c>
      <c r="AQ1251" t="s">
        <v>102</v>
      </c>
      <c r="AV1251" t="s">
        <v>98</v>
      </c>
      <c r="AX1251" t="s">
        <v>159</v>
      </c>
      <c r="AZ1251" t="s">
        <v>535</v>
      </c>
      <c r="BB1251" t="s">
        <v>106</v>
      </c>
      <c r="BC1251" t="s">
        <v>2969</v>
      </c>
      <c r="BF1251" t="s">
        <v>4125</v>
      </c>
      <c r="BG1251" t="s">
        <v>98</v>
      </c>
      <c r="BH1251" t="s">
        <v>98</v>
      </c>
      <c r="BI1251" t="s">
        <v>98</v>
      </c>
      <c r="BJ1251" t="s">
        <v>291</v>
      </c>
      <c r="BK1251" t="s">
        <v>292</v>
      </c>
      <c r="CA1251" t="s">
        <v>4126</v>
      </c>
      <c r="CB1251" t="s">
        <v>159</v>
      </c>
      <c r="CG1251">
        <v>3000</v>
      </c>
      <c r="CH1251">
        <v>80</v>
      </c>
      <c r="CJ1251">
        <v>1300</v>
      </c>
      <c r="CK1251">
        <v>30000</v>
      </c>
      <c r="CL1251" t="s">
        <v>291</v>
      </c>
      <c r="CM1251" t="s">
        <v>98</v>
      </c>
      <c r="CN1251" t="s">
        <v>4127</v>
      </c>
      <c r="CO1251" s="1">
        <v>43074</v>
      </c>
      <c r="CP1251" s="1">
        <v>43595</v>
      </c>
    </row>
    <row r="1252" spans="1:94" x14ac:dyDescent="0.25">
      <c r="A1252" s="4" t="s">
        <v>4128</v>
      </c>
      <c r="B1252" t="str">
        <f xml:space="preserve"> "" &amp; 706411060748</f>
        <v>706411060748</v>
      </c>
      <c r="C1252" t="s">
        <v>4123</v>
      </c>
      <c r="D1252" t="s">
        <v>4129</v>
      </c>
      <c r="E1252" t="s">
        <v>3267</v>
      </c>
      <c r="F1252" t="s">
        <v>135</v>
      </c>
      <c r="G1252">
        <v>1</v>
      </c>
      <c r="H1252">
        <v>1</v>
      </c>
      <c r="I1252" t="s">
        <v>97</v>
      </c>
      <c r="J1252" s="32">
        <v>49.95</v>
      </c>
      <c r="K1252" s="32">
        <v>149.85</v>
      </c>
      <c r="L1252">
        <v>0</v>
      </c>
      <c r="N1252">
        <v>0</v>
      </c>
      <c r="S1252">
        <v>1.75</v>
      </c>
      <c r="T1252">
        <v>5</v>
      </c>
      <c r="U1252">
        <v>5</v>
      </c>
      <c r="W1252">
        <v>0.71</v>
      </c>
      <c r="X1252">
        <v>1</v>
      </c>
      <c r="Y1252">
        <v>2.25</v>
      </c>
      <c r="Z1252">
        <v>6.25</v>
      </c>
      <c r="AA1252">
        <v>6.25</v>
      </c>
      <c r="AB1252">
        <v>5.0999999999999997E-2</v>
      </c>
      <c r="AC1252">
        <v>0.84</v>
      </c>
      <c r="AE1252">
        <v>1</v>
      </c>
      <c r="AF1252" t="s">
        <v>2141</v>
      </c>
      <c r="AG1252">
        <v>20</v>
      </c>
      <c r="AK1252" t="s">
        <v>291</v>
      </c>
      <c r="AM1252" t="s">
        <v>98</v>
      </c>
      <c r="AN1252" t="s">
        <v>291</v>
      </c>
      <c r="AO1252" t="s">
        <v>98</v>
      </c>
      <c r="AP1252" t="s">
        <v>99</v>
      </c>
      <c r="AQ1252" t="s">
        <v>102</v>
      </c>
      <c r="AV1252" t="s">
        <v>98</v>
      </c>
      <c r="AX1252" t="s">
        <v>179</v>
      </c>
      <c r="AZ1252" t="s">
        <v>109</v>
      </c>
      <c r="BB1252" t="s">
        <v>106</v>
      </c>
      <c r="BC1252" t="s">
        <v>2969</v>
      </c>
      <c r="BF1252" t="s">
        <v>4130</v>
      </c>
      <c r="BG1252" t="s">
        <v>98</v>
      </c>
      <c r="BH1252" t="s">
        <v>98</v>
      </c>
      <c r="BI1252" t="s">
        <v>98</v>
      </c>
      <c r="BJ1252" t="s">
        <v>291</v>
      </c>
      <c r="BK1252" t="s">
        <v>292</v>
      </c>
      <c r="CA1252" t="s">
        <v>4126</v>
      </c>
      <c r="CB1252" t="s">
        <v>179</v>
      </c>
      <c r="CG1252">
        <v>3000</v>
      </c>
      <c r="CH1252">
        <v>90</v>
      </c>
      <c r="CJ1252">
        <v>1300</v>
      </c>
      <c r="CK1252">
        <v>30000</v>
      </c>
      <c r="CL1252" t="s">
        <v>291</v>
      </c>
      <c r="CM1252" t="s">
        <v>98</v>
      </c>
      <c r="CN1252" t="s">
        <v>4127</v>
      </c>
      <c r="CO1252" s="1">
        <v>43278</v>
      </c>
      <c r="CP1252" s="1">
        <v>43595</v>
      </c>
    </row>
    <row r="1253" spans="1:94" x14ac:dyDescent="0.25">
      <c r="A1253" s="4" t="s">
        <v>4131</v>
      </c>
      <c r="B1253" t="str">
        <f xml:space="preserve"> "" &amp; 706411054433</f>
        <v>706411054433</v>
      </c>
      <c r="C1253" t="s">
        <v>4123</v>
      </c>
      <c r="D1253" t="s">
        <v>4132</v>
      </c>
      <c r="E1253" t="s">
        <v>3267</v>
      </c>
      <c r="F1253" t="s">
        <v>135</v>
      </c>
      <c r="G1253">
        <v>1</v>
      </c>
      <c r="H1253">
        <v>1</v>
      </c>
      <c r="I1253" t="s">
        <v>97</v>
      </c>
      <c r="J1253" s="32">
        <v>49.95</v>
      </c>
      <c r="K1253" s="32">
        <v>149.85</v>
      </c>
      <c r="L1253">
        <v>0</v>
      </c>
      <c r="N1253">
        <v>0</v>
      </c>
      <c r="S1253">
        <v>1.75</v>
      </c>
      <c r="T1253">
        <v>5</v>
      </c>
      <c r="U1253">
        <v>5</v>
      </c>
      <c r="W1253">
        <v>0.71</v>
      </c>
      <c r="X1253">
        <v>1</v>
      </c>
      <c r="Y1253">
        <v>2.25</v>
      </c>
      <c r="Z1253">
        <v>6.25</v>
      </c>
      <c r="AA1253">
        <v>6.25</v>
      </c>
      <c r="AB1253">
        <v>5.0999999999999997E-2</v>
      </c>
      <c r="AC1253">
        <v>0.84</v>
      </c>
      <c r="AE1253">
        <v>1</v>
      </c>
      <c r="AF1253" t="s">
        <v>2141</v>
      </c>
      <c r="AG1253">
        <v>20</v>
      </c>
      <c r="AK1253" t="s">
        <v>291</v>
      </c>
      <c r="AM1253" t="s">
        <v>98</v>
      </c>
      <c r="AN1253" t="s">
        <v>291</v>
      </c>
      <c r="AO1253" t="s">
        <v>98</v>
      </c>
      <c r="AP1253" t="s">
        <v>99</v>
      </c>
      <c r="AQ1253" t="s">
        <v>102</v>
      </c>
      <c r="AV1253" t="s">
        <v>98</v>
      </c>
      <c r="AX1253" t="s">
        <v>245</v>
      </c>
      <c r="AZ1253" t="s">
        <v>535</v>
      </c>
      <c r="BB1253" t="s">
        <v>106</v>
      </c>
      <c r="BC1253" t="s">
        <v>2969</v>
      </c>
      <c r="BF1253" t="s">
        <v>4133</v>
      </c>
      <c r="BG1253" t="s">
        <v>98</v>
      </c>
      <c r="BH1253" t="s">
        <v>98</v>
      </c>
      <c r="BI1253" t="s">
        <v>98</v>
      </c>
      <c r="BJ1253" t="s">
        <v>291</v>
      </c>
      <c r="BK1253" t="s">
        <v>292</v>
      </c>
      <c r="CA1253" t="s">
        <v>4134</v>
      </c>
      <c r="CB1253" t="s">
        <v>245</v>
      </c>
      <c r="CG1253">
        <v>3000</v>
      </c>
      <c r="CH1253">
        <v>80</v>
      </c>
      <c r="CJ1253">
        <v>1300</v>
      </c>
      <c r="CK1253">
        <v>30000</v>
      </c>
      <c r="CL1253" t="s">
        <v>291</v>
      </c>
      <c r="CM1253" t="s">
        <v>98</v>
      </c>
      <c r="CN1253" t="s">
        <v>4127</v>
      </c>
      <c r="CO1253" s="1">
        <v>42517</v>
      </c>
      <c r="CP1253" s="1">
        <v>43595</v>
      </c>
    </row>
    <row r="1254" spans="1:94" x14ac:dyDescent="0.25">
      <c r="A1254" s="4" t="s">
        <v>4135</v>
      </c>
      <c r="B1254" t="str">
        <f xml:space="preserve"> "" &amp; 706411054457</f>
        <v>706411054457</v>
      </c>
      <c r="C1254" t="s">
        <v>4136</v>
      </c>
      <c r="D1254" t="s">
        <v>4137</v>
      </c>
      <c r="E1254" t="s">
        <v>3267</v>
      </c>
      <c r="F1254" t="s">
        <v>135</v>
      </c>
      <c r="G1254">
        <v>1</v>
      </c>
      <c r="H1254">
        <v>1</v>
      </c>
      <c r="I1254" t="s">
        <v>97</v>
      </c>
      <c r="J1254" s="32">
        <v>49.95</v>
      </c>
      <c r="K1254" s="32">
        <v>149.85</v>
      </c>
      <c r="L1254">
        <v>0</v>
      </c>
      <c r="N1254">
        <v>0</v>
      </c>
      <c r="S1254">
        <v>1.75</v>
      </c>
      <c r="T1254">
        <v>5</v>
      </c>
      <c r="U1254">
        <v>5</v>
      </c>
      <c r="W1254">
        <v>0.71</v>
      </c>
      <c r="X1254">
        <v>1</v>
      </c>
      <c r="Y1254">
        <v>2.25</v>
      </c>
      <c r="Z1254">
        <v>6.25</v>
      </c>
      <c r="AA1254">
        <v>6.25</v>
      </c>
      <c r="AB1254">
        <v>5.0999999999999997E-2</v>
      </c>
      <c r="AC1254">
        <v>0.84</v>
      </c>
      <c r="AE1254">
        <v>1</v>
      </c>
      <c r="AF1254" t="s">
        <v>2141</v>
      </c>
      <c r="AG1254">
        <v>20</v>
      </c>
      <c r="AK1254" t="s">
        <v>291</v>
      </c>
      <c r="AM1254" t="s">
        <v>98</v>
      </c>
      <c r="AN1254" t="s">
        <v>291</v>
      </c>
      <c r="AO1254" t="s">
        <v>98</v>
      </c>
      <c r="AP1254" t="s">
        <v>99</v>
      </c>
      <c r="AQ1254" t="s">
        <v>102</v>
      </c>
      <c r="AV1254" t="s">
        <v>98</v>
      </c>
      <c r="AX1254" t="s">
        <v>441</v>
      </c>
      <c r="AZ1254" t="s">
        <v>109</v>
      </c>
      <c r="BB1254" t="s">
        <v>106</v>
      </c>
      <c r="BC1254" t="s">
        <v>2969</v>
      </c>
      <c r="BF1254" t="s">
        <v>4138</v>
      </c>
      <c r="BG1254" t="s">
        <v>98</v>
      </c>
      <c r="BH1254" t="s">
        <v>98</v>
      </c>
      <c r="BI1254" t="s">
        <v>98</v>
      </c>
      <c r="BJ1254" t="s">
        <v>291</v>
      </c>
      <c r="BK1254" t="s">
        <v>292</v>
      </c>
      <c r="CA1254" t="s">
        <v>4134</v>
      </c>
      <c r="CB1254" t="s">
        <v>441</v>
      </c>
      <c r="CG1254">
        <v>3000</v>
      </c>
      <c r="CH1254">
        <v>80</v>
      </c>
      <c r="CJ1254">
        <v>1300</v>
      </c>
      <c r="CK1254">
        <v>30000</v>
      </c>
      <c r="CL1254" t="s">
        <v>291</v>
      </c>
      <c r="CM1254" t="s">
        <v>98</v>
      </c>
      <c r="CN1254" t="s">
        <v>4127</v>
      </c>
      <c r="CO1254" s="1">
        <v>42517</v>
      </c>
      <c r="CP1254" s="1">
        <v>43595</v>
      </c>
    </row>
    <row r="1255" spans="1:94" x14ac:dyDescent="0.25">
      <c r="A1255" s="4" t="s">
        <v>4139</v>
      </c>
      <c r="B1255" t="str">
        <f xml:space="preserve"> "" &amp; 706411054440</f>
        <v>706411054440</v>
      </c>
      <c r="C1255" t="s">
        <v>4123</v>
      </c>
      <c r="D1255" t="s">
        <v>4140</v>
      </c>
      <c r="E1255" t="s">
        <v>3267</v>
      </c>
      <c r="F1255" t="s">
        <v>135</v>
      </c>
      <c r="G1255">
        <v>1</v>
      </c>
      <c r="H1255">
        <v>1</v>
      </c>
      <c r="I1255" t="s">
        <v>97</v>
      </c>
      <c r="J1255" s="32">
        <v>49.95</v>
      </c>
      <c r="K1255" s="32">
        <v>149.85</v>
      </c>
      <c r="L1255">
        <v>0</v>
      </c>
      <c r="N1255">
        <v>0</v>
      </c>
      <c r="S1255">
        <v>1.75</v>
      </c>
      <c r="T1255">
        <v>5</v>
      </c>
      <c r="U1255">
        <v>5</v>
      </c>
      <c r="W1255">
        <v>0.71</v>
      </c>
      <c r="X1255">
        <v>1</v>
      </c>
      <c r="Y1255">
        <v>2.25</v>
      </c>
      <c r="Z1255">
        <v>6.25</v>
      </c>
      <c r="AA1255">
        <v>6.25</v>
      </c>
      <c r="AB1255">
        <v>5.0999999999999997E-2</v>
      </c>
      <c r="AC1255">
        <v>0.84</v>
      </c>
      <c r="AE1255">
        <v>1</v>
      </c>
      <c r="AF1255" t="s">
        <v>2141</v>
      </c>
      <c r="AG1255">
        <v>20</v>
      </c>
      <c r="AK1255" t="s">
        <v>291</v>
      </c>
      <c r="AM1255" t="s">
        <v>98</v>
      </c>
      <c r="AN1255" t="s">
        <v>291</v>
      </c>
      <c r="AO1255" t="s">
        <v>98</v>
      </c>
      <c r="AP1255" t="s">
        <v>99</v>
      </c>
      <c r="AQ1255" t="s">
        <v>102</v>
      </c>
      <c r="AV1255" t="s">
        <v>98</v>
      </c>
      <c r="AX1255" t="s">
        <v>306</v>
      </c>
      <c r="AZ1255" t="s">
        <v>109</v>
      </c>
      <c r="BB1255" t="s">
        <v>106</v>
      </c>
      <c r="BC1255" t="s">
        <v>2969</v>
      </c>
      <c r="BF1255" t="s">
        <v>4141</v>
      </c>
      <c r="BG1255" t="s">
        <v>98</v>
      </c>
      <c r="BH1255" t="s">
        <v>98</v>
      </c>
      <c r="BI1255" t="s">
        <v>98</v>
      </c>
      <c r="BJ1255" t="s">
        <v>291</v>
      </c>
      <c r="BK1255" t="s">
        <v>292</v>
      </c>
      <c r="CA1255" t="s">
        <v>4126</v>
      </c>
      <c r="CB1255" t="s">
        <v>306</v>
      </c>
      <c r="CG1255">
        <v>3000</v>
      </c>
      <c r="CH1255">
        <v>90</v>
      </c>
      <c r="CJ1255">
        <v>1300</v>
      </c>
      <c r="CK1255">
        <v>30000</v>
      </c>
      <c r="CL1255" t="s">
        <v>291</v>
      </c>
      <c r="CM1255" t="s">
        <v>98</v>
      </c>
      <c r="CN1255" t="s">
        <v>4127</v>
      </c>
      <c r="CO1255" s="1">
        <v>42559</v>
      </c>
      <c r="CP1255" s="1">
        <v>43595</v>
      </c>
    </row>
    <row r="1256" spans="1:94" x14ac:dyDescent="0.25">
      <c r="A1256" s="4" t="s">
        <v>4142</v>
      </c>
      <c r="B1256" t="str">
        <f xml:space="preserve"> "" &amp; 706411054631</f>
        <v>706411054631</v>
      </c>
      <c r="C1256" t="s">
        <v>4143</v>
      </c>
      <c r="D1256" t="s">
        <v>4144</v>
      </c>
      <c r="E1256" t="s">
        <v>3418</v>
      </c>
      <c r="F1256" t="s">
        <v>135</v>
      </c>
      <c r="G1256">
        <v>1</v>
      </c>
      <c r="H1256">
        <v>1</v>
      </c>
      <c r="I1256" t="s">
        <v>97</v>
      </c>
      <c r="J1256" s="32">
        <v>44.95</v>
      </c>
      <c r="K1256" s="32">
        <v>134.85</v>
      </c>
      <c r="L1256">
        <v>0</v>
      </c>
      <c r="N1256">
        <v>0</v>
      </c>
      <c r="S1256">
        <v>1.75</v>
      </c>
      <c r="T1256">
        <v>6.5</v>
      </c>
      <c r="U1256">
        <v>6.5</v>
      </c>
      <c r="W1256">
        <v>1.01</v>
      </c>
      <c r="X1256">
        <v>1</v>
      </c>
      <c r="Y1256">
        <v>1.88</v>
      </c>
      <c r="Z1256">
        <v>6.88</v>
      </c>
      <c r="AA1256">
        <v>6.75</v>
      </c>
      <c r="AB1256">
        <v>5.0999999999999997E-2</v>
      </c>
      <c r="AC1256">
        <v>1.19</v>
      </c>
      <c r="AE1256">
        <v>1</v>
      </c>
      <c r="AF1256" t="s">
        <v>2141</v>
      </c>
      <c r="AG1256">
        <v>20</v>
      </c>
      <c r="AK1256" t="s">
        <v>291</v>
      </c>
      <c r="AM1256" t="s">
        <v>98</v>
      </c>
      <c r="AN1256" t="s">
        <v>291</v>
      </c>
      <c r="AO1256" t="s">
        <v>98</v>
      </c>
      <c r="AP1256" t="s">
        <v>99</v>
      </c>
      <c r="AQ1256" t="s">
        <v>102</v>
      </c>
      <c r="AV1256" t="s">
        <v>98</v>
      </c>
      <c r="AX1256" t="s">
        <v>703</v>
      </c>
      <c r="AZ1256" t="s">
        <v>109</v>
      </c>
      <c r="BF1256" t="s">
        <v>4145</v>
      </c>
      <c r="BG1256" t="s">
        <v>98</v>
      </c>
      <c r="BH1256" t="s">
        <v>98</v>
      </c>
      <c r="BI1256" t="s">
        <v>98</v>
      </c>
      <c r="BK1256" t="s">
        <v>138</v>
      </c>
      <c r="CA1256" t="s">
        <v>4134</v>
      </c>
      <c r="CB1256" t="s">
        <v>703</v>
      </c>
      <c r="CG1256">
        <v>3000</v>
      </c>
      <c r="CH1256">
        <v>80</v>
      </c>
      <c r="CJ1256">
        <v>1300</v>
      </c>
      <c r="CK1256">
        <v>30000</v>
      </c>
      <c r="CL1256" t="s">
        <v>291</v>
      </c>
      <c r="CM1256" t="s">
        <v>98</v>
      </c>
      <c r="CN1256" t="s">
        <v>4127</v>
      </c>
      <c r="CO1256" s="1">
        <v>42517</v>
      </c>
      <c r="CP1256" s="1">
        <v>43658</v>
      </c>
    </row>
    <row r="1257" spans="1:94" x14ac:dyDescent="0.25">
      <c r="A1257" s="4" t="s">
        <v>4146</v>
      </c>
      <c r="B1257" t="str">
        <f xml:space="preserve"> "" &amp; 706411054624</f>
        <v>706411054624</v>
      </c>
      <c r="C1257" t="s">
        <v>4143</v>
      </c>
      <c r="D1257" t="s">
        <v>4147</v>
      </c>
      <c r="E1257" t="s">
        <v>3418</v>
      </c>
      <c r="F1257" t="s">
        <v>135</v>
      </c>
      <c r="G1257">
        <v>1</v>
      </c>
      <c r="H1257">
        <v>1</v>
      </c>
      <c r="I1257" t="s">
        <v>97</v>
      </c>
      <c r="J1257" s="32">
        <v>44.95</v>
      </c>
      <c r="K1257" s="32">
        <v>134.85</v>
      </c>
      <c r="L1257">
        <v>0</v>
      </c>
      <c r="N1257">
        <v>0</v>
      </c>
      <c r="S1257">
        <v>1.5</v>
      </c>
      <c r="T1257">
        <v>6.88</v>
      </c>
      <c r="U1257">
        <v>6.5</v>
      </c>
      <c r="W1257">
        <v>1.01</v>
      </c>
      <c r="X1257">
        <v>1</v>
      </c>
      <c r="Y1257">
        <v>1.88</v>
      </c>
      <c r="Z1257">
        <v>6.88</v>
      </c>
      <c r="AA1257">
        <v>6.75</v>
      </c>
      <c r="AB1257">
        <v>5.0999999999999997E-2</v>
      </c>
      <c r="AC1257">
        <v>1.19</v>
      </c>
      <c r="AE1257">
        <v>1</v>
      </c>
      <c r="AF1257" t="s">
        <v>2141</v>
      </c>
      <c r="AG1257">
        <v>20</v>
      </c>
      <c r="AK1257" t="s">
        <v>291</v>
      </c>
      <c r="AM1257" t="s">
        <v>98</v>
      </c>
      <c r="AN1257" t="s">
        <v>291</v>
      </c>
      <c r="AO1257" t="s">
        <v>98</v>
      </c>
      <c r="AP1257" t="s">
        <v>99</v>
      </c>
      <c r="AQ1257" t="s">
        <v>102</v>
      </c>
      <c r="AV1257" t="s">
        <v>98</v>
      </c>
      <c r="AX1257" t="s">
        <v>441</v>
      </c>
      <c r="AZ1257" t="s">
        <v>109</v>
      </c>
      <c r="BF1257" t="s">
        <v>4148</v>
      </c>
      <c r="BG1257" t="s">
        <v>98</v>
      </c>
      <c r="BH1257" t="s">
        <v>98</v>
      </c>
      <c r="BI1257" t="s">
        <v>98</v>
      </c>
      <c r="BK1257" t="s">
        <v>138</v>
      </c>
      <c r="CA1257" t="s">
        <v>4134</v>
      </c>
      <c r="CB1257" t="s">
        <v>441</v>
      </c>
      <c r="CG1257">
        <v>3000</v>
      </c>
      <c r="CH1257">
        <v>80</v>
      </c>
      <c r="CJ1257">
        <v>1300</v>
      </c>
      <c r="CK1257">
        <v>30000</v>
      </c>
      <c r="CL1257" t="s">
        <v>291</v>
      </c>
      <c r="CM1257" t="s">
        <v>98</v>
      </c>
      <c r="CN1257" t="s">
        <v>4127</v>
      </c>
      <c r="CO1257" s="1">
        <v>42517</v>
      </c>
      <c r="CP1257" s="1">
        <v>43658</v>
      </c>
    </row>
    <row r="1258" spans="1:94" x14ac:dyDescent="0.25">
      <c r="A1258" s="4" t="s">
        <v>4149</v>
      </c>
      <c r="B1258" t="str">
        <f xml:space="preserve"> "" &amp; 706411054617</f>
        <v>706411054617</v>
      </c>
      <c r="C1258" t="s">
        <v>4143</v>
      </c>
      <c r="D1258" t="s">
        <v>4150</v>
      </c>
      <c r="E1258" t="s">
        <v>3418</v>
      </c>
      <c r="F1258" t="s">
        <v>135</v>
      </c>
      <c r="G1258">
        <v>1</v>
      </c>
      <c r="H1258">
        <v>1</v>
      </c>
      <c r="I1258" t="s">
        <v>97</v>
      </c>
      <c r="J1258" s="32">
        <v>44.95</v>
      </c>
      <c r="K1258" s="32">
        <v>134.85</v>
      </c>
      <c r="L1258">
        <v>0</v>
      </c>
      <c r="N1258">
        <v>0</v>
      </c>
      <c r="S1258">
        <v>1.5</v>
      </c>
      <c r="T1258">
        <v>6.88</v>
      </c>
      <c r="U1258">
        <v>6.5</v>
      </c>
      <c r="W1258">
        <v>1.01</v>
      </c>
      <c r="X1258">
        <v>1</v>
      </c>
      <c r="Y1258">
        <v>1.88</v>
      </c>
      <c r="Z1258">
        <v>6.88</v>
      </c>
      <c r="AA1258">
        <v>6.75</v>
      </c>
      <c r="AB1258">
        <v>5.0999999999999997E-2</v>
      </c>
      <c r="AC1258">
        <v>1.19</v>
      </c>
      <c r="AE1258">
        <v>1</v>
      </c>
      <c r="AF1258" t="s">
        <v>2141</v>
      </c>
      <c r="AG1258">
        <v>20</v>
      </c>
      <c r="AK1258" t="s">
        <v>291</v>
      </c>
      <c r="AM1258" t="s">
        <v>98</v>
      </c>
      <c r="AN1258" t="s">
        <v>291</v>
      </c>
      <c r="AO1258" t="s">
        <v>98</v>
      </c>
      <c r="AP1258" t="s">
        <v>99</v>
      </c>
      <c r="AQ1258" t="s">
        <v>102</v>
      </c>
      <c r="AV1258" t="s">
        <v>98</v>
      </c>
      <c r="AX1258" t="s">
        <v>302</v>
      </c>
      <c r="AZ1258" t="s">
        <v>109</v>
      </c>
      <c r="BF1258" t="s">
        <v>4151</v>
      </c>
      <c r="BG1258" t="s">
        <v>98</v>
      </c>
      <c r="BH1258" t="s">
        <v>98</v>
      </c>
      <c r="BI1258" t="s">
        <v>98</v>
      </c>
      <c r="BK1258" t="s">
        <v>138</v>
      </c>
      <c r="CA1258" t="s">
        <v>4134</v>
      </c>
      <c r="CB1258" t="s">
        <v>302</v>
      </c>
      <c r="CG1258">
        <v>3000</v>
      </c>
      <c r="CH1258">
        <v>80</v>
      </c>
      <c r="CJ1258">
        <v>1300</v>
      </c>
      <c r="CK1258">
        <v>30000</v>
      </c>
      <c r="CL1258" t="s">
        <v>291</v>
      </c>
      <c r="CM1258" t="s">
        <v>98</v>
      </c>
      <c r="CN1258" t="s">
        <v>4127</v>
      </c>
      <c r="CO1258" s="1">
        <v>42517</v>
      </c>
      <c r="CP1258" s="1">
        <v>43658</v>
      </c>
    </row>
    <row r="1259" spans="1:94" x14ac:dyDescent="0.25">
      <c r="A1259" s="4" t="s">
        <v>4152</v>
      </c>
      <c r="B1259" t="str">
        <f xml:space="preserve"> "" &amp; 706411056123</f>
        <v>706411056123</v>
      </c>
      <c r="C1259" t="s">
        <v>4153</v>
      </c>
      <c r="D1259" t="s">
        <v>4154</v>
      </c>
      <c r="E1259" t="s">
        <v>4155</v>
      </c>
      <c r="F1259" t="s">
        <v>135</v>
      </c>
      <c r="G1259">
        <v>1</v>
      </c>
      <c r="H1259">
        <v>1</v>
      </c>
      <c r="I1259" t="s">
        <v>97</v>
      </c>
      <c r="J1259" s="32">
        <v>59.95</v>
      </c>
      <c r="K1259" s="32">
        <v>179.85</v>
      </c>
      <c r="L1259">
        <v>0</v>
      </c>
      <c r="N1259">
        <v>0</v>
      </c>
      <c r="S1259">
        <v>2</v>
      </c>
      <c r="T1259">
        <v>7</v>
      </c>
      <c r="U1259">
        <v>7</v>
      </c>
      <c r="W1259">
        <v>0.44</v>
      </c>
      <c r="X1259">
        <v>1</v>
      </c>
      <c r="Y1259">
        <v>1.88</v>
      </c>
      <c r="Z1259">
        <v>6.88</v>
      </c>
      <c r="AA1259">
        <v>6.75</v>
      </c>
      <c r="AB1259">
        <v>5.0999999999999997E-2</v>
      </c>
      <c r="AC1259">
        <v>1.7</v>
      </c>
      <c r="AE1259">
        <v>1</v>
      </c>
      <c r="AF1259" t="s">
        <v>2141</v>
      </c>
      <c r="AG1259">
        <v>20</v>
      </c>
      <c r="AK1259" t="s">
        <v>291</v>
      </c>
      <c r="AM1259" t="s">
        <v>98</v>
      </c>
      <c r="AN1259" t="s">
        <v>291</v>
      </c>
      <c r="AO1259" t="s">
        <v>98</v>
      </c>
      <c r="AP1259" t="s">
        <v>99</v>
      </c>
      <c r="AQ1259" t="s">
        <v>102</v>
      </c>
      <c r="AV1259" t="s">
        <v>98</v>
      </c>
      <c r="AX1259" t="s">
        <v>159</v>
      </c>
      <c r="AZ1259" t="s">
        <v>535</v>
      </c>
      <c r="BB1259" t="s">
        <v>106</v>
      </c>
      <c r="BF1259" t="s">
        <v>4156</v>
      </c>
      <c r="BG1259" t="s">
        <v>98</v>
      </c>
      <c r="BH1259" t="s">
        <v>98</v>
      </c>
      <c r="BI1259" t="s">
        <v>98</v>
      </c>
      <c r="BJ1259" t="s">
        <v>291</v>
      </c>
      <c r="BK1259" t="s">
        <v>292</v>
      </c>
      <c r="CA1259" t="s">
        <v>4157</v>
      </c>
      <c r="CB1259" t="s">
        <v>159</v>
      </c>
      <c r="CG1259">
        <v>3000</v>
      </c>
      <c r="CH1259">
        <v>80</v>
      </c>
      <c r="CJ1259">
        <v>1430</v>
      </c>
      <c r="CK1259">
        <v>30000</v>
      </c>
      <c r="CL1259" t="s">
        <v>291</v>
      </c>
      <c r="CM1259" t="s">
        <v>98</v>
      </c>
      <c r="CN1259" t="s">
        <v>4127</v>
      </c>
      <c r="CO1259" s="1">
        <v>42838</v>
      </c>
      <c r="CP1259" s="1">
        <v>43595</v>
      </c>
    </row>
    <row r="1260" spans="1:94" x14ac:dyDescent="0.25">
      <c r="A1260" s="4" t="s">
        <v>4158</v>
      </c>
      <c r="B1260" t="str">
        <f xml:space="preserve"> "" &amp; 706411060762</f>
        <v>706411060762</v>
      </c>
      <c r="C1260" t="s">
        <v>4159</v>
      </c>
      <c r="D1260" t="s">
        <v>4160</v>
      </c>
      <c r="E1260" t="s">
        <v>4155</v>
      </c>
      <c r="F1260" t="s">
        <v>135</v>
      </c>
      <c r="G1260">
        <v>1</v>
      </c>
      <c r="H1260">
        <v>1</v>
      </c>
      <c r="I1260" t="s">
        <v>97</v>
      </c>
      <c r="J1260" s="32">
        <v>59.95</v>
      </c>
      <c r="K1260" s="32">
        <v>179.85</v>
      </c>
      <c r="L1260">
        <v>0</v>
      </c>
      <c r="N1260">
        <v>0</v>
      </c>
      <c r="S1260">
        <v>2</v>
      </c>
      <c r="T1260">
        <v>7</v>
      </c>
      <c r="U1260">
        <v>7</v>
      </c>
      <c r="W1260">
        <v>1.47</v>
      </c>
      <c r="X1260">
        <v>1</v>
      </c>
      <c r="Y1260">
        <v>2.38</v>
      </c>
      <c r="Z1260">
        <v>8.5</v>
      </c>
      <c r="AA1260">
        <v>8.5</v>
      </c>
      <c r="AB1260">
        <v>0.1</v>
      </c>
      <c r="AC1260">
        <v>1.7</v>
      </c>
      <c r="AE1260">
        <v>1</v>
      </c>
      <c r="AF1260" t="s">
        <v>2141</v>
      </c>
      <c r="AG1260">
        <v>20</v>
      </c>
      <c r="AK1260" t="s">
        <v>291</v>
      </c>
      <c r="AM1260" t="s">
        <v>98</v>
      </c>
      <c r="AN1260" t="s">
        <v>291</v>
      </c>
      <c r="AO1260" t="s">
        <v>98</v>
      </c>
      <c r="AP1260" t="s">
        <v>99</v>
      </c>
      <c r="AQ1260" t="s">
        <v>102</v>
      </c>
      <c r="AV1260" t="s">
        <v>98</v>
      </c>
      <c r="AX1260" t="s">
        <v>179</v>
      </c>
      <c r="AZ1260" t="s">
        <v>535</v>
      </c>
      <c r="BB1260" t="s">
        <v>106</v>
      </c>
      <c r="BF1260" t="s">
        <v>4161</v>
      </c>
      <c r="BG1260" t="s">
        <v>98</v>
      </c>
      <c r="BH1260" t="s">
        <v>98</v>
      </c>
      <c r="BI1260" t="s">
        <v>98</v>
      </c>
      <c r="BJ1260" t="s">
        <v>291</v>
      </c>
      <c r="BK1260" t="s">
        <v>292</v>
      </c>
      <c r="CA1260" t="s">
        <v>4157</v>
      </c>
      <c r="CB1260" t="s">
        <v>179</v>
      </c>
      <c r="CG1260">
        <v>3000</v>
      </c>
      <c r="CH1260">
        <v>94</v>
      </c>
      <c r="CI1260">
        <v>1718.9</v>
      </c>
      <c r="CJ1260">
        <v>1038.5999999999999</v>
      </c>
      <c r="CK1260">
        <v>30000</v>
      </c>
      <c r="CL1260" t="s">
        <v>291</v>
      </c>
      <c r="CM1260" t="s">
        <v>98</v>
      </c>
      <c r="CN1260" t="s">
        <v>4127</v>
      </c>
      <c r="CO1260" s="1">
        <v>43278</v>
      </c>
      <c r="CP1260" s="1">
        <v>43595</v>
      </c>
    </row>
    <row r="1261" spans="1:94" x14ac:dyDescent="0.25">
      <c r="A1261" s="4" t="s">
        <v>4162</v>
      </c>
      <c r="B1261" t="str">
        <f xml:space="preserve"> "" &amp; 706411056130</f>
        <v>706411056130</v>
      </c>
      <c r="C1261" t="s">
        <v>4153</v>
      </c>
      <c r="D1261" t="s">
        <v>4163</v>
      </c>
      <c r="E1261" t="s">
        <v>4155</v>
      </c>
      <c r="F1261" t="s">
        <v>135</v>
      </c>
      <c r="G1261">
        <v>1</v>
      </c>
      <c r="H1261">
        <v>1</v>
      </c>
      <c r="I1261" t="s">
        <v>97</v>
      </c>
      <c r="J1261" s="32">
        <v>59.95</v>
      </c>
      <c r="K1261" s="32">
        <v>179.85</v>
      </c>
      <c r="L1261">
        <v>0</v>
      </c>
      <c r="N1261">
        <v>0</v>
      </c>
      <c r="S1261">
        <v>2</v>
      </c>
      <c r="T1261">
        <v>7</v>
      </c>
      <c r="U1261">
        <v>7</v>
      </c>
      <c r="W1261">
        <v>1.47</v>
      </c>
      <c r="X1261">
        <v>1</v>
      </c>
      <c r="Y1261">
        <v>2.38</v>
      </c>
      <c r="Z1261">
        <v>8.5</v>
      </c>
      <c r="AA1261">
        <v>8.5</v>
      </c>
      <c r="AB1261">
        <v>0.1</v>
      </c>
      <c r="AC1261">
        <v>1.7</v>
      </c>
      <c r="AE1261">
        <v>1</v>
      </c>
      <c r="AF1261" t="s">
        <v>2141</v>
      </c>
      <c r="AG1261">
        <v>20</v>
      </c>
      <c r="AK1261" t="s">
        <v>291</v>
      </c>
      <c r="AM1261" t="s">
        <v>98</v>
      </c>
      <c r="AN1261" t="s">
        <v>291</v>
      </c>
      <c r="AO1261" t="s">
        <v>98</v>
      </c>
      <c r="AP1261" t="s">
        <v>99</v>
      </c>
      <c r="AQ1261" t="s">
        <v>102</v>
      </c>
      <c r="AV1261" t="s">
        <v>98</v>
      </c>
      <c r="AX1261" t="s">
        <v>245</v>
      </c>
      <c r="AZ1261" t="s">
        <v>535</v>
      </c>
      <c r="BB1261" t="s">
        <v>106</v>
      </c>
      <c r="BF1261" t="s">
        <v>4164</v>
      </c>
      <c r="BG1261" t="s">
        <v>98</v>
      </c>
      <c r="BH1261" t="s">
        <v>98</v>
      </c>
      <c r="BI1261" t="s">
        <v>98</v>
      </c>
      <c r="BJ1261" t="s">
        <v>291</v>
      </c>
      <c r="BK1261" t="s">
        <v>292</v>
      </c>
      <c r="CA1261" t="s">
        <v>4157</v>
      </c>
      <c r="CB1261" t="s">
        <v>245</v>
      </c>
      <c r="CG1261">
        <v>3000</v>
      </c>
      <c r="CH1261">
        <v>80</v>
      </c>
      <c r="CI1261">
        <v>1430</v>
      </c>
      <c r="CK1261">
        <v>30000</v>
      </c>
      <c r="CL1261" t="s">
        <v>291</v>
      </c>
      <c r="CM1261" t="s">
        <v>98</v>
      </c>
      <c r="CN1261" t="s">
        <v>4165</v>
      </c>
      <c r="CO1261" s="1">
        <v>42838</v>
      </c>
      <c r="CP1261" s="1">
        <v>43595</v>
      </c>
    </row>
    <row r="1262" spans="1:94" x14ac:dyDescent="0.25">
      <c r="A1262" s="4" t="s">
        <v>4166</v>
      </c>
      <c r="B1262" t="str">
        <f xml:space="preserve"> "" &amp; 706411056154</f>
        <v>706411056154</v>
      </c>
      <c r="C1262" t="s">
        <v>4159</v>
      </c>
      <c r="D1262" t="s">
        <v>4167</v>
      </c>
      <c r="E1262" t="s">
        <v>4155</v>
      </c>
      <c r="F1262" t="s">
        <v>135</v>
      </c>
      <c r="G1262">
        <v>1</v>
      </c>
      <c r="H1262">
        <v>1</v>
      </c>
      <c r="I1262" t="s">
        <v>97</v>
      </c>
      <c r="J1262" s="32">
        <v>59.95</v>
      </c>
      <c r="K1262" s="32">
        <v>179.85</v>
      </c>
      <c r="L1262">
        <v>0</v>
      </c>
      <c r="N1262">
        <v>0</v>
      </c>
      <c r="S1262">
        <v>2</v>
      </c>
      <c r="T1262">
        <v>7</v>
      </c>
      <c r="U1262">
        <v>7</v>
      </c>
      <c r="W1262">
        <v>1.47</v>
      </c>
      <c r="X1262">
        <v>1</v>
      </c>
      <c r="Y1262">
        <v>2.38</v>
      </c>
      <c r="Z1262">
        <v>8.5</v>
      </c>
      <c r="AA1262">
        <v>8.5</v>
      </c>
      <c r="AB1262">
        <v>0.1</v>
      </c>
      <c r="AC1262">
        <v>1.7</v>
      </c>
      <c r="AE1262">
        <v>1</v>
      </c>
      <c r="AF1262" t="s">
        <v>2141</v>
      </c>
      <c r="AG1262">
        <v>20</v>
      </c>
      <c r="AK1262" t="s">
        <v>291</v>
      </c>
      <c r="AM1262" t="s">
        <v>98</v>
      </c>
      <c r="AN1262" t="s">
        <v>291</v>
      </c>
      <c r="AO1262" t="s">
        <v>98</v>
      </c>
      <c r="AP1262" t="s">
        <v>99</v>
      </c>
      <c r="AQ1262" t="s">
        <v>102</v>
      </c>
      <c r="AV1262" t="s">
        <v>98</v>
      </c>
      <c r="AX1262" t="s">
        <v>269</v>
      </c>
      <c r="AZ1262" t="s">
        <v>535</v>
      </c>
      <c r="BB1262" t="s">
        <v>106</v>
      </c>
      <c r="BF1262" t="s">
        <v>4168</v>
      </c>
      <c r="BG1262" t="s">
        <v>98</v>
      </c>
      <c r="BH1262" t="s">
        <v>98</v>
      </c>
      <c r="BI1262" t="s">
        <v>98</v>
      </c>
      <c r="BJ1262" t="s">
        <v>291</v>
      </c>
      <c r="BK1262" t="s">
        <v>292</v>
      </c>
      <c r="CA1262" t="s">
        <v>4157</v>
      </c>
      <c r="CB1262" t="s">
        <v>269</v>
      </c>
      <c r="CG1262">
        <v>3000</v>
      </c>
      <c r="CH1262">
        <v>80</v>
      </c>
      <c r="CJ1262">
        <v>1430</v>
      </c>
      <c r="CK1262">
        <v>30000</v>
      </c>
      <c r="CL1262" t="s">
        <v>291</v>
      </c>
      <c r="CM1262" t="s">
        <v>98</v>
      </c>
      <c r="CN1262" t="s">
        <v>4127</v>
      </c>
      <c r="CO1262" s="1">
        <v>42838</v>
      </c>
      <c r="CP1262" s="1">
        <v>43595</v>
      </c>
    </row>
    <row r="1263" spans="1:94" x14ac:dyDescent="0.25">
      <c r="A1263" s="4" t="s">
        <v>4169</v>
      </c>
      <c r="B1263" t="str">
        <f xml:space="preserve"> "" &amp; 706411056147</f>
        <v>706411056147</v>
      </c>
      <c r="C1263" t="s">
        <v>4159</v>
      </c>
      <c r="D1263" t="s">
        <v>4170</v>
      </c>
      <c r="E1263" t="s">
        <v>4155</v>
      </c>
      <c r="F1263" t="s">
        <v>135</v>
      </c>
      <c r="G1263">
        <v>1</v>
      </c>
      <c r="H1263">
        <v>1</v>
      </c>
      <c r="I1263" t="s">
        <v>97</v>
      </c>
      <c r="J1263" s="32">
        <v>59.95</v>
      </c>
      <c r="K1263" s="32">
        <v>179.85</v>
      </c>
      <c r="L1263">
        <v>0</v>
      </c>
      <c r="N1263">
        <v>0</v>
      </c>
      <c r="S1263">
        <v>2</v>
      </c>
      <c r="T1263">
        <v>7</v>
      </c>
      <c r="U1263">
        <v>7</v>
      </c>
      <c r="W1263">
        <v>1.47</v>
      </c>
      <c r="X1263">
        <v>1</v>
      </c>
      <c r="Y1263">
        <v>2.38</v>
      </c>
      <c r="Z1263">
        <v>8.5</v>
      </c>
      <c r="AA1263">
        <v>8.5</v>
      </c>
      <c r="AB1263">
        <v>0.1</v>
      </c>
      <c r="AC1263">
        <v>1.7</v>
      </c>
      <c r="AE1263">
        <v>1</v>
      </c>
      <c r="AF1263" t="s">
        <v>2141</v>
      </c>
      <c r="AG1263">
        <v>20</v>
      </c>
      <c r="AK1263" t="s">
        <v>291</v>
      </c>
      <c r="AM1263" t="s">
        <v>98</v>
      </c>
      <c r="AN1263" t="s">
        <v>291</v>
      </c>
      <c r="AO1263" t="s">
        <v>98</v>
      </c>
      <c r="AP1263" t="s">
        <v>99</v>
      </c>
      <c r="AQ1263" t="s">
        <v>102</v>
      </c>
      <c r="AV1263" t="s">
        <v>98</v>
      </c>
      <c r="AX1263" t="s">
        <v>306</v>
      </c>
      <c r="AZ1263" t="s">
        <v>535</v>
      </c>
      <c r="BB1263" t="s">
        <v>106</v>
      </c>
      <c r="BF1263" t="s">
        <v>4171</v>
      </c>
      <c r="BG1263" t="s">
        <v>98</v>
      </c>
      <c r="BH1263" t="s">
        <v>98</v>
      </c>
      <c r="BI1263" t="s">
        <v>98</v>
      </c>
      <c r="BJ1263" t="s">
        <v>291</v>
      </c>
      <c r="BK1263" t="s">
        <v>292</v>
      </c>
      <c r="CA1263" t="s">
        <v>4157</v>
      </c>
      <c r="CB1263" t="s">
        <v>306</v>
      </c>
      <c r="CG1263">
        <v>3000</v>
      </c>
      <c r="CH1263">
        <v>80</v>
      </c>
      <c r="CJ1263">
        <v>1430</v>
      </c>
      <c r="CK1263">
        <v>30000</v>
      </c>
      <c r="CL1263" t="s">
        <v>291</v>
      </c>
      <c r="CM1263" t="s">
        <v>98</v>
      </c>
      <c r="CN1263" t="s">
        <v>4127</v>
      </c>
      <c r="CO1263" s="1">
        <v>42838</v>
      </c>
      <c r="CP1263" s="1">
        <v>43595</v>
      </c>
    </row>
    <row r="1264" spans="1:94" x14ac:dyDescent="0.25">
      <c r="A1264" s="4" t="s">
        <v>4172</v>
      </c>
      <c r="B1264" t="str">
        <f xml:space="preserve"> "" &amp; 706411055942</f>
        <v>706411055942</v>
      </c>
      <c r="C1264" t="s">
        <v>4173</v>
      </c>
      <c r="D1264" t="s">
        <v>4174</v>
      </c>
      <c r="F1264" t="s">
        <v>551</v>
      </c>
      <c r="G1264">
        <v>1</v>
      </c>
      <c r="H1264">
        <v>1</v>
      </c>
      <c r="I1264" t="s">
        <v>97</v>
      </c>
      <c r="J1264" s="32">
        <v>18</v>
      </c>
      <c r="K1264" s="32">
        <v>54</v>
      </c>
      <c r="L1264">
        <v>0</v>
      </c>
      <c r="N1264">
        <v>0</v>
      </c>
      <c r="S1264">
        <v>4.75</v>
      </c>
      <c r="T1264">
        <v>1.25</v>
      </c>
      <c r="U1264">
        <v>4.75</v>
      </c>
      <c r="W1264">
        <v>0.33</v>
      </c>
      <c r="X1264">
        <v>1</v>
      </c>
      <c r="Y1264">
        <v>2.75</v>
      </c>
      <c r="Z1264">
        <v>5.75</v>
      </c>
      <c r="AA1264">
        <v>1.38</v>
      </c>
      <c r="AB1264">
        <v>1.2999999999999999E-2</v>
      </c>
      <c r="AC1264">
        <v>0.37</v>
      </c>
      <c r="AK1264" t="s">
        <v>98</v>
      </c>
      <c r="AM1264" t="s">
        <v>98</v>
      </c>
      <c r="AN1264" t="s">
        <v>98</v>
      </c>
      <c r="AO1264" t="s">
        <v>291</v>
      </c>
      <c r="AP1264" t="s">
        <v>99</v>
      </c>
      <c r="AQ1264" t="s">
        <v>102</v>
      </c>
      <c r="AV1264" t="s">
        <v>98</v>
      </c>
      <c r="AX1264" t="s">
        <v>560</v>
      </c>
      <c r="AZ1264" t="s">
        <v>109</v>
      </c>
      <c r="BF1264" t="s">
        <v>4175</v>
      </c>
      <c r="BG1264" t="s">
        <v>98</v>
      </c>
      <c r="BH1264" t="s">
        <v>98</v>
      </c>
      <c r="BI1264" t="s">
        <v>98</v>
      </c>
      <c r="BK1264" t="s">
        <v>138</v>
      </c>
      <c r="CB1264" t="s">
        <v>560</v>
      </c>
      <c r="CL1264" t="s">
        <v>98</v>
      </c>
      <c r="CM1264" t="s">
        <v>98</v>
      </c>
      <c r="CN1264" t="s">
        <v>553</v>
      </c>
      <c r="CO1264" s="1">
        <v>42593</v>
      </c>
      <c r="CP1264" s="1">
        <v>43595</v>
      </c>
    </row>
    <row r="1265" spans="1:94" x14ac:dyDescent="0.25">
      <c r="A1265" s="4" t="s">
        <v>4176</v>
      </c>
      <c r="B1265" t="str">
        <f xml:space="preserve"> "" &amp; 706411054778</f>
        <v>706411054778</v>
      </c>
      <c r="C1265" t="s">
        <v>4177</v>
      </c>
      <c r="D1265" t="s">
        <v>4178</v>
      </c>
      <c r="F1265" t="s">
        <v>551</v>
      </c>
      <c r="G1265">
        <v>1</v>
      </c>
      <c r="H1265">
        <v>1</v>
      </c>
      <c r="I1265" t="s">
        <v>97</v>
      </c>
      <c r="J1265" s="32">
        <v>18</v>
      </c>
      <c r="K1265" s="32">
        <v>54</v>
      </c>
      <c r="L1265">
        <v>0</v>
      </c>
      <c r="N1265">
        <v>0</v>
      </c>
      <c r="S1265">
        <v>2</v>
      </c>
      <c r="T1265">
        <v>2</v>
      </c>
      <c r="U1265">
        <v>4.75</v>
      </c>
      <c r="V1265">
        <v>1</v>
      </c>
      <c r="W1265">
        <v>0.24</v>
      </c>
      <c r="X1265">
        <v>1</v>
      </c>
      <c r="Y1265">
        <v>14.63</v>
      </c>
      <c r="Z1265">
        <v>11.38</v>
      </c>
      <c r="AA1265">
        <v>8.6300000000000008</v>
      </c>
      <c r="AB1265">
        <v>0.83099999999999996</v>
      </c>
      <c r="AC1265">
        <v>0.28999999999999998</v>
      </c>
      <c r="AK1265" t="s">
        <v>98</v>
      </c>
      <c r="AM1265" t="s">
        <v>98</v>
      </c>
      <c r="AN1265" t="s">
        <v>291</v>
      </c>
      <c r="AO1265" t="s">
        <v>98</v>
      </c>
      <c r="AP1265" t="s">
        <v>99</v>
      </c>
      <c r="AQ1265" t="s">
        <v>102</v>
      </c>
      <c r="AV1265" t="s">
        <v>98</v>
      </c>
      <c r="AX1265" t="s">
        <v>560</v>
      </c>
      <c r="AZ1265" t="s">
        <v>109</v>
      </c>
      <c r="BF1265" t="s">
        <v>4179</v>
      </c>
      <c r="BG1265" t="s">
        <v>98</v>
      </c>
      <c r="BH1265" t="s">
        <v>98</v>
      </c>
      <c r="BI1265" t="s">
        <v>98</v>
      </c>
      <c r="BK1265" t="s">
        <v>138</v>
      </c>
      <c r="CA1265" t="s">
        <v>4180</v>
      </c>
      <c r="CB1265" t="s">
        <v>560</v>
      </c>
      <c r="CL1265" t="s">
        <v>98</v>
      </c>
      <c r="CM1265" t="s">
        <v>98</v>
      </c>
      <c r="CN1265" t="s">
        <v>553</v>
      </c>
      <c r="CO1265" s="1">
        <v>42558</v>
      </c>
      <c r="CP1265" s="1">
        <v>43595</v>
      </c>
    </row>
    <row r="1266" spans="1:94" x14ac:dyDescent="0.25">
      <c r="A1266" s="4" t="s">
        <v>4181</v>
      </c>
      <c r="B1266" t="str">
        <f xml:space="preserve"> "" &amp; 706411055263</f>
        <v>706411055263</v>
      </c>
      <c r="C1266" t="s">
        <v>4182</v>
      </c>
      <c r="D1266" t="s">
        <v>4183</v>
      </c>
      <c r="F1266" t="s">
        <v>551</v>
      </c>
      <c r="G1266">
        <v>1</v>
      </c>
      <c r="H1266">
        <v>1</v>
      </c>
      <c r="I1266" t="s">
        <v>97</v>
      </c>
      <c r="J1266" s="32">
        <v>18.5</v>
      </c>
      <c r="K1266" s="32">
        <v>55.5</v>
      </c>
      <c r="L1266">
        <v>0</v>
      </c>
      <c r="N1266">
        <v>0</v>
      </c>
      <c r="T1266">
        <v>1.1299999999999999</v>
      </c>
      <c r="U1266">
        <v>4.75</v>
      </c>
      <c r="W1266">
        <v>0.33</v>
      </c>
      <c r="X1266">
        <v>1</v>
      </c>
      <c r="AB1266">
        <v>1.6400000000000001E-2</v>
      </c>
      <c r="AC1266">
        <v>0.37</v>
      </c>
      <c r="AK1266" t="s">
        <v>98</v>
      </c>
      <c r="AM1266" t="s">
        <v>98</v>
      </c>
      <c r="AN1266" t="s">
        <v>98</v>
      </c>
      <c r="AO1266" t="s">
        <v>291</v>
      </c>
      <c r="AP1266" t="s">
        <v>99</v>
      </c>
      <c r="AQ1266" t="s">
        <v>102</v>
      </c>
      <c r="AV1266" t="s">
        <v>98</v>
      </c>
      <c r="AX1266" t="s">
        <v>560</v>
      </c>
      <c r="AZ1266" t="s">
        <v>109</v>
      </c>
      <c r="BF1266" t="s">
        <v>4184</v>
      </c>
      <c r="BG1266" t="s">
        <v>98</v>
      </c>
      <c r="BH1266" t="s">
        <v>98</v>
      </c>
      <c r="BI1266" t="s">
        <v>98</v>
      </c>
      <c r="BK1266" t="s">
        <v>138</v>
      </c>
      <c r="CA1266" t="s">
        <v>4185</v>
      </c>
      <c r="CB1266" t="s">
        <v>560</v>
      </c>
      <c r="CL1266" t="s">
        <v>98</v>
      </c>
      <c r="CM1266" t="s">
        <v>98</v>
      </c>
      <c r="CN1266" t="s">
        <v>553</v>
      </c>
      <c r="CO1266" s="1">
        <v>42569</v>
      </c>
      <c r="CP1266" s="1">
        <v>43595</v>
      </c>
    </row>
    <row r="1267" spans="1:94" x14ac:dyDescent="0.25">
      <c r="A1267" s="4" t="s">
        <v>4186</v>
      </c>
      <c r="B1267" t="str">
        <f xml:space="preserve"> "" &amp; 706411054761</f>
        <v>706411054761</v>
      </c>
      <c r="C1267" t="s">
        <v>4187</v>
      </c>
      <c r="D1267" t="s">
        <v>4188</v>
      </c>
      <c r="F1267" t="s">
        <v>551</v>
      </c>
      <c r="G1267">
        <v>1</v>
      </c>
      <c r="H1267">
        <v>1</v>
      </c>
      <c r="I1267" t="s">
        <v>97</v>
      </c>
      <c r="J1267" s="32">
        <v>19</v>
      </c>
      <c r="K1267" s="32">
        <v>57</v>
      </c>
      <c r="L1267">
        <v>0</v>
      </c>
      <c r="N1267">
        <v>0</v>
      </c>
      <c r="S1267">
        <v>4.75</v>
      </c>
      <c r="T1267">
        <v>1.25</v>
      </c>
      <c r="U1267">
        <v>2.25</v>
      </c>
      <c r="W1267">
        <v>0.31</v>
      </c>
      <c r="X1267">
        <v>1</v>
      </c>
      <c r="Y1267">
        <v>2.75</v>
      </c>
      <c r="Z1267">
        <v>5.75</v>
      </c>
      <c r="AA1267">
        <v>1.38</v>
      </c>
      <c r="AB1267">
        <v>1.2999999999999999E-2</v>
      </c>
      <c r="AC1267">
        <v>0.35</v>
      </c>
      <c r="AK1267" t="s">
        <v>98</v>
      </c>
      <c r="AM1267" t="s">
        <v>98</v>
      </c>
      <c r="AN1267" t="s">
        <v>98</v>
      </c>
      <c r="AO1267" t="s">
        <v>291</v>
      </c>
      <c r="AP1267" t="s">
        <v>99</v>
      </c>
      <c r="AQ1267" t="s">
        <v>102</v>
      </c>
      <c r="AV1267" t="s">
        <v>98</v>
      </c>
      <c r="AX1267" t="s">
        <v>560</v>
      </c>
      <c r="AZ1267" t="s">
        <v>109</v>
      </c>
      <c r="BF1267" t="s">
        <v>4189</v>
      </c>
      <c r="BG1267" t="s">
        <v>98</v>
      </c>
      <c r="BH1267" t="s">
        <v>98</v>
      </c>
      <c r="BI1267" t="s">
        <v>98</v>
      </c>
      <c r="BJ1267" t="s">
        <v>291</v>
      </c>
      <c r="BK1267" t="s">
        <v>292</v>
      </c>
      <c r="CB1267" t="s">
        <v>560</v>
      </c>
      <c r="CL1267" t="s">
        <v>98</v>
      </c>
      <c r="CM1267" t="s">
        <v>98</v>
      </c>
      <c r="CN1267" t="s">
        <v>553</v>
      </c>
      <c r="CO1267" s="1">
        <v>42457</v>
      </c>
      <c r="CP1267" s="1">
        <v>43595</v>
      </c>
    </row>
    <row r="1268" spans="1:94" x14ac:dyDescent="0.25">
      <c r="A1268" s="4" t="s">
        <v>4190</v>
      </c>
      <c r="B1268" t="str">
        <f xml:space="preserve"> "" &amp; 706411058431</f>
        <v>706411058431</v>
      </c>
      <c r="C1268" t="s">
        <v>4191</v>
      </c>
      <c r="D1268" t="s">
        <v>4192</v>
      </c>
      <c r="F1268" t="s">
        <v>135</v>
      </c>
      <c r="G1268">
        <v>1</v>
      </c>
      <c r="H1268">
        <v>1</v>
      </c>
      <c r="I1268" t="s">
        <v>97</v>
      </c>
      <c r="J1268" s="32">
        <v>25</v>
      </c>
      <c r="K1268" s="32">
        <v>75</v>
      </c>
      <c r="L1268">
        <v>0</v>
      </c>
      <c r="N1268">
        <v>0</v>
      </c>
      <c r="S1268">
        <v>1</v>
      </c>
      <c r="T1268">
        <v>4.75</v>
      </c>
      <c r="U1268">
        <v>2.13</v>
      </c>
      <c r="W1268">
        <v>0.26</v>
      </c>
      <c r="X1268">
        <v>1</v>
      </c>
      <c r="Y1268">
        <v>7.88</v>
      </c>
      <c r="Z1268">
        <v>16.63</v>
      </c>
      <c r="AA1268">
        <v>16.63</v>
      </c>
      <c r="AB1268">
        <v>1.2609999999999999</v>
      </c>
      <c r="AC1268">
        <v>0.31</v>
      </c>
      <c r="AK1268" t="s">
        <v>98</v>
      </c>
      <c r="AM1268" t="s">
        <v>98</v>
      </c>
      <c r="AN1268" t="s">
        <v>98</v>
      </c>
      <c r="AO1268" t="s">
        <v>291</v>
      </c>
      <c r="AP1268" t="s">
        <v>99</v>
      </c>
      <c r="AQ1268" t="s">
        <v>102</v>
      </c>
      <c r="AV1268" t="s">
        <v>98</v>
      </c>
      <c r="AX1268" t="s">
        <v>560</v>
      </c>
      <c r="AZ1268" t="s">
        <v>109</v>
      </c>
      <c r="BF1268" t="s">
        <v>4193</v>
      </c>
      <c r="BG1268" t="s">
        <v>98</v>
      </c>
      <c r="BH1268" t="s">
        <v>98</v>
      </c>
      <c r="BI1268" t="s">
        <v>98</v>
      </c>
      <c r="BK1268" t="s">
        <v>138</v>
      </c>
      <c r="CB1268" t="s">
        <v>560</v>
      </c>
      <c r="CL1268" t="s">
        <v>98</v>
      </c>
      <c r="CM1268" t="s">
        <v>98</v>
      </c>
      <c r="CN1268" t="s">
        <v>553</v>
      </c>
      <c r="CO1268" s="1">
        <v>42992</v>
      </c>
      <c r="CP1268" s="1">
        <v>43595</v>
      </c>
    </row>
    <row r="1269" spans="1:94" x14ac:dyDescent="0.25">
      <c r="A1269" s="4" t="s">
        <v>4194</v>
      </c>
      <c r="B1269" t="str">
        <f xml:space="preserve"> "" &amp; 706411057960</f>
        <v>706411057960</v>
      </c>
      <c r="C1269" t="s">
        <v>4191</v>
      </c>
      <c r="D1269" t="s">
        <v>4195</v>
      </c>
      <c r="F1269" t="s">
        <v>551</v>
      </c>
      <c r="G1269">
        <v>1</v>
      </c>
      <c r="H1269">
        <v>1</v>
      </c>
      <c r="I1269" t="s">
        <v>97</v>
      </c>
      <c r="J1269" s="32">
        <v>25</v>
      </c>
      <c r="K1269" s="32">
        <v>75</v>
      </c>
      <c r="L1269">
        <v>0</v>
      </c>
      <c r="N1269">
        <v>0</v>
      </c>
      <c r="S1269">
        <v>1</v>
      </c>
      <c r="T1269">
        <v>4.75</v>
      </c>
      <c r="U1269">
        <v>2.13</v>
      </c>
      <c r="W1269">
        <v>0.26</v>
      </c>
      <c r="X1269">
        <v>1</v>
      </c>
      <c r="Y1269">
        <v>7.88</v>
      </c>
      <c r="Z1269">
        <v>16.63</v>
      </c>
      <c r="AA1269">
        <v>16.63</v>
      </c>
      <c r="AB1269">
        <v>1.2609999999999999</v>
      </c>
      <c r="AC1269">
        <v>0.31</v>
      </c>
      <c r="AK1269" t="s">
        <v>98</v>
      </c>
      <c r="AM1269" t="s">
        <v>98</v>
      </c>
      <c r="AN1269" t="s">
        <v>98</v>
      </c>
      <c r="AO1269" t="s">
        <v>291</v>
      </c>
      <c r="AP1269" t="s">
        <v>99</v>
      </c>
      <c r="AQ1269" t="s">
        <v>102</v>
      </c>
      <c r="AV1269" t="s">
        <v>98</v>
      </c>
      <c r="AZ1269" t="s">
        <v>791</v>
      </c>
      <c r="BF1269" t="s">
        <v>4196</v>
      </c>
      <c r="BG1269" t="s">
        <v>98</v>
      </c>
      <c r="BH1269" t="s">
        <v>98</v>
      </c>
      <c r="BI1269" t="s">
        <v>98</v>
      </c>
      <c r="BJ1269" t="s">
        <v>291</v>
      </c>
      <c r="BK1269" t="s">
        <v>292</v>
      </c>
      <c r="CL1269" t="s">
        <v>98</v>
      </c>
      <c r="CM1269" t="s">
        <v>98</v>
      </c>
      <c r="CN1269" t="s">
        <v>553</v>
      </c>
      <c r="CO1269" s="1">
        <v>43203</v>
      </c>
      <c r="CP1269" s="1">
        <v>43595</v>
      </c>
    </row>
    <row r="1270" spans="1:94" x14ac:dyDescent="0.25">
      <c r="A1270" s="4" t="s">
        <v>4197</v>
      </c>
      <c r="B1270" t="str">
        <f xml:space="preserve"> "" &amp; 706411062834</f>
        <v>706411062834</v>
      </c>
      <c r="C1270" t="s">
        <v>4198</v>
      </c>
      <c r="D1270" t="s">
        <v>4349</v>
      </c>
      <c r="F1270" t="s">
        <v>551</v>
      </c>
      <c r="G1270">
        <v>1</v>
      </c>
      <c r="H1270">
        <v>1</v>
      </c>
      <c r="I1270" t="s">
        <v>97</v>
      </c>
      <c r="J1270" s="32">
        <v>25</v>
      </c>
      <c r="K1270" s="32">
        <v>75</v>
      </c>
      <c r="L1270">
        <v>0</v>
      </c>
      <c r="N1270">
        <v>0</v>
      </c>
      <c r="S1270">
        <v>0.75</v>
      </c>
      <c r="T1270">
        <v>2.13</v>
      </c>
      <c r="U1270">
        <v>4.5</v>
      </c>
      <c r="W1270">
        <v>0.22</v>
      </c>
      <c r="X1270">
        <v>1</v>
      </c>
      <c r="Y1270">
        <v>2.5</v>
      </c>
      <c r="Z1270">
        <v>5.5</v>
      </c>
      <c r="AA1270">
        <v>1.75</v>
      </c>
      <c r="AB1270">
        <v>1.4E-2</v>
      </c>
      <c r="AC1270">
        <v>0.26</v>
      </c>
      <c r="AK1270" t="s">
        <v>98</v>
      </c>
      <c r="AM1270" t="s">
        <v>98</v>
      </c>
      <c r="AN1270" t="s">
        <v>291</v>
      </c>
      <c r="AO1270" t="s">
        <v>98</v>
      </c>
      <c r="AP1270" t="s">
        <v>99</v>
      </c>
      <c r="AQ1270" t="s">
        <v>102</v>
      </c>
      <c r="AV1270" t="s">
        <v>98</v>
      </c>
      <c r="AX1270" t="s">
        <v>560</v>
      </c>
      <c r="BF1270" t="s">
        <v>4199</v>
      </c>
      <c r="BG1270" t="s">
        <v>98</v>
      </c>
      <c r="BH1270" t="s">
        <v>98</v>
      </c>
      <c r="BI1270" t="s">
        <v>98</v>
      </c>
      <c r="BK1270" t="s">
        <v>138</v>
      </c>
      <c r="CB1270" t="s">
        <v>560</v>
      </c>
      <c r="CL1270" t="s">
        <v>98</v>
      </c>
      <c r="CM1270" t="s">
        <v>98</v>
      </c>
      <c r="CN1270" t="s">
        <v>553</v>
      </c>
      <c r="CO1270" s="1">
        <v>43647</v>
      </c>
      <c r="CP1270" s="1">
        <v>43647</v>
      </c>
    </row>
    <row r="1271" spans="1:94" x14ac:dyDescent="0.25">
      <c r="A1271" s="4" t="s">
        <v>4200</v>
      </c>
      <c r="B1271" t="str">
        <f xml:space="preserve"> "" &amp; 706411041990</f>
        <v>706411041990</v>
      </c>
      <c r="C1271" t="s">
        <v>4201</v>
      </c>
      <c r="D1271" t="s">
        <v>4202</v>
      </c>
      <c r="F1271" t="s">
        <v>551</v>
      </c>
      <c r="G1271">
        <v>1</v>
      </c>
      <c r="H1271">
        <v>1</v>
      </c>
      <c r="I1271" t="s">
        <v>97</v>
      </c>
      <c r="J1271" s="32">
        <v>15</v>
      </c>
      <c r="K1271" s="32">
        <v>45</v>
      </c>
      <c r="L1271">
        <v>0</v>
      </c>
      <c r="N1271">
        <v>0</v>
      </c>
      <c r="S1271">
        <v>1.1299999999999999</v>
      </c>
      <c r="T1271">
        <v>4.75</v>
      </c>
      <c r="U1271">
        <v>2.13</v>
      </c>
      <c r="W1271">
        <v>0.31</v>
      </c>
      <c r="X1271">
        <v>1</v>
      </c>
      <c r="Y1271">
        <v>2.75</v>
      </c>
      <c r="Z1271">
        <v>5.75</v>
      </c>
      <c r="AA1271">
        <v>1.38</v>
      </c>
      <c r="AB1271">
        <v>1.2999999999999999E-2</v>
      </c>
      <c r="AC1271">
        <v>0.35</v>
      </c>
      <c r="AK1271" t="s">
        <v>98</v>
      </c>
      <c r="AM1271" t="s">
        <v>98</v>
      </c>
      <c r="AN1271" t="s">
        <v>98</v>
      </c>
      <c r="AO1271" t="s">
        <v>291</v>
      </c>
      <c r="AP1271" t="s">
        <v>99</v>
      </c>
      <c r="AQ1271" t="s">
        <v>102</v>
      </c>
      <c r="AV1271" t="s">
        <v>98</v>
      </c>
      <c r="AX1271" t="s">
        <v>3834</v>
      </c>
      <c r="BF1271" t="s">
        <v>4203</v>
      </c>
      <c r="BG1271" t="s">
        <v>98</v>
      </c>
      <c r="BH1271" t="s">
        <v>98</v>
      </c>
      <c r="BI1271" t="s">
        <v>98</v>
      </c>
      <c r="BK1271" t="s">
        <v>138</v>
      </c>
      <c r="CA1271" t="s">
        <v>4200</v>
      </c>
      <c r="CB1271" t="s">
        <v>3834</v>
      </c>
      <c r="CL1271" t="s">
        <v>98</v>
      </c>
      <c r="CM1271" t="s">
        <v>98</v>
      </c>
      <c r="CN1271" t="s">
        <v>553</v>
      </c>
      <c r="CO1271" s="1">
        <v>40840</v>
      </c>
      <c r="CP1271" s="1">
        <v>43595</v>
      </c>
    </row>
    <row r="1272" spans="1:94" x14ac:dyDescent="0.25">
      <c r="A1272" s="4" t="s">
        <v>4204</v>
      </c>
      <c r="B1272" t="str">
        <f xml:space="preserve"> "" &amp; 706411042003</f>
        <v>706411042003</v>
      </c>
      <c r="C1272" t="s">
        <v>4205</v>
      </c>
      <c r="D1272" t="s">
        <v>591</v>
      </c>
      <c r="F1272" t="s">
        <v>551</v>
      </c>
      <c r="G1272">
        <v>1</v>
      </c>
      <c r="H1272">
        <v>1</v>
      </c>
      <c r="I1272" t="s">
        <v>97</v>
      </c>
      <c r="J1272" s="32">
        <v>18</v>
      </c>
      <c r="K1272" s="32">
        <v>54</v>
      </c>
      <c r="L1272">
        <v>0</v>
      </c>
      <c r="N1272">
        <v>0</v>
      </c>
      <c r="S1272">
        <v>1.25</v>
      </c>
      <c r="T1272">
        <v>4.75</v>
      </c>
      <c r="U1272">
        <v>2.25</v>
      </c>
      <c r="W1272">
        <v>0.31</v>
      </c>
      <c r="X1272">
        <v>1</v>
      </c>
      <c r="Y1272">
        <v>2.75</v>
      </c>
      <c r="Z1272">
        <v>5.75</v>
      </c>
      <c r="AA1272">
        <v>1.38</v>
      </c>
      <c r="AB1272">
        <v>1.2999999999999999E-2</v>
      </c>
      <c r="AC1272">
        <v>0.35</v>
      </c>
      <c r="AK1272" t="s">
        <v>98</v>
      </c>
      <c r="AM1272" t="s">
        <v>98</v>
      </c>
      <c r="AN1272" t="s">
        <v>98</v>
      </c>
      <c r="AO1272" t="s">
        <v>291</v>
      </c>
      <c r="AP1272" t="s">
        <v>99</v>
      </c>
      <c r="AQ1272" t="s">
        <v>102</v>
      </c>
      <c r="AV1272" t="s">
        <v>98</v>
      </c>
      <c r="AX1272" t="s">
        <v>4206</v>
      </c>
      <c r="BF1272" t="s">
        <v>4207</v>
      </c>
      <c r="BG1272" t="s">
        <v>98</v>
      </c>
      <c r="BH1272" t="s">
        <v>98</v>
      </c>
      <c r="BI1272" t="s">
        <v>98</v>
      </c>
      <c r="BK1272" t="s">
        <v>138</v>
      </c>
      <c r="CA1272" t="s">
        <v>4204</v>
      </c>
      <c r="CB1272" t="s">
        <v>4206</v>
      </c>
      <c r="CL1272" t="s">
        <v>98</v>
      </c>
      <c r="CM1272" t="s">
        <v>98</v>
      </c>
      <c r="CO1272" s="1">
        <v>40840</v>
      </c>
      <c r="CP1272" s="1">
        <v>43595</v>
      </c>
    </row>
    <row r="1273" spans="1:94" x14ac:dyDescent="0.25">
      <c r="A1273" s="4" t="s">
        <v>4208</v>
      </c>
      <c r="B1273" t="str">
        <f xml:space="preserve"> "" &amp; 706411008054</f>
        <v>706411008054</v>
      </c>
      <c r="C1273" t="s">
        <v>4209</v>
      </c>
      <c r="D1273" t="s">
        <v>4210</v>
      </c>
      <c r="F1273" t="s">
        <v>551</v>
      </c>
      <c r="G1273">
        <v>1</v>
      </c>
      <c r="H1273">
        <v>1</v>
      </c>
      <c r="I1273" t="s">
        <v>97</v>
      </c>
      <c r="J1273" s="32">
        <v>18</v>
      </c>
      <c r="K1273" s="32">
        <v>54</v>
      </c>
      <c r="L1273">
        <v>0</v>
      </c>
      <c r="N1273">
        <v>0</v>
      </c>
      <c r="S1273">
        <v>1</v>
      </c>
      <c r="T1273">
        <v>4.5</v>
      </c>
      <c r="U1273">
        <v>2.5</v>
      </c>
      <c r="W1273">
        <v>0.26</v>
      </c>
      <c r="X1273">
        <v>1</v>
      </c>
      <c r="Y1273">
        <v>3</v>
      </c>
      <c r="Z1273">
        <v>4.75</v>
      </c>
      <c r="AA1273">
        <v>1.25</v>
      </c>
      <c r="AB1273">
        <v>0.01</v>
      </c>
      <c r="AC1273">
        <v>0.31</v>
      </c>
      <c r="AK1273" t="s">
        <v>98</v>
      </c>
      <c r="AM1273" t="s">
        <v>98</v>
      </c>
      <c r="AN1273" t="s">
        <v>98</v>
      </c>
      <c r="AO1273" t="s">
        <v>98</v>
      </c>
      <c r="AP1273" t="s">
        <v>99</v>
      </c>
      <c r="AQ1273" t="s">
        <v>102</v>
      </c>
      <c r="AV1273" t="s">
        <v>98</v>
      </c>
      <c r="BF1273" t="s">
        <v>4211</v>
      </c>
      <c r="BG1273" t="s">
        <v>98</v>
      </c>
      <c r="BH1273" t="s">
        <v>98</v>
      </c>
      <c r="BI1273" t="s">
        <v>98</v>
      </c>
      <c r="BK1273" t="s">
        <v>138</v>
      </c>
      <c r="CA1273" t="s">
        <v>4208</v>
      </c>
      <c r="CL1273" t="s">
        <v>98</v>
      </c>
      <c r="CM1273" t="s">
        <v>98</v>
      </c>
      <c r="CN1273" t="s">
        <v>553</v>
      </c>
      <c r="CO1273" s="1">
        <v>43571</v>
      </c>
      <c r="CP1273" s="1">
        <v>43571</v>
      </c>
    </row>
    <row r="1274" spans="1:94" x14ac:dyDescent="0.25">
      <c r="A1274" s="4" t="s">
        <v>4212</v>
      </c>
      <c r="B1274" t="str">
        <f xml:space="preserve"> "" &amp; 706411042041</f>
        <v>706411042041</v>
      </c>
      <c r="C1274" t="s">
        <v>4213</v>
      </c>
      <c r="D1274" t="s">
        <v>4214</v>
      </c>
      <c r="F1274" t="s">
        <v>551</v>
      </c>
      <c r="G1274">
        <v>1</v>
      </c>
      <c r="H1274">
        <v>1</v>
      </c>
      <c r="I1274" t="s">
        <v>97</v>
      </c>
      <c r="J1274" s="32">
        <v>15</v>
      </c>
      <c r="K1274" s="32">
        <v>45</v>
      </c>
      <c r="L1274">
        <v>0</v>
      </c>
      <c r="N1274">
        <v>0</v>
      </c>
      <c r="S1274">
        <v>2.75</v>
      </c>
      <c r="T1274">
        <v>4.75</v>
      </c>
      <c r="U1274">
        <v>2.25</v>
      </c>
      <c r="W1274">
        <v>0.31</v>
      </c>
      <c r="X1274">
        <v>1</v>
      </c>
      <c r="Y1274">
        <v>2.75</v>
      </c>
      <c r="Z1274">
        <v>5.75</v>
      </c>
      <c r="AA1274">
        <v>1.38</v>
      </c>
      <c r="AB1274">
        <v>1.2999999999999999E-2</v>
      </c>
      <c r="AC1274">
        <v>0.35</v>
      </c>
      <c r="AK1274" t="s">
        <v>98</v>
      </c>
      <c r="AM1274" t="s">
        <v>98</v>
      </c>
      <c r="AN1274" t="s">
        <v>98</v>
      </c>
      <c r="AO1274" t="s">
        <v>291</v>
      </c>
      <c r="AP1274" t="s">
        <v>99</v>
      </c>
      <c r="AQ1274" t="s">
        <v>102</v>
      </c>
      <c r="AV1274" t="s">
        <v>98</v>
      </c>
      <c r="AX1274" t="s">
        <v>4206</v>
      </c>
      <c r="BF1274" t="s">
        <v>4215</v>
      </c>
      <c r="BG1274" t="s">
        <v>98</v>
      </c>
      <c r="BH1274" t="s">
        <v>98</v>
      </c>
      <c r="BI1274" t="s">
        <v>98</v>
      </c>
      <c r="BK1274" t="s">
        <v>138</v>
      </c>
      <c r="CA1274" t="s">
        <v>4212</v>
      </c>
      <c r="CB1274" t="s">
        <v>4206</v>
      </c>
      <c r="CL1274" t="s">
        <v>98</v>
      </c>
      <c r="CM1274" t="s">
        <v>98</v>
      </c>
      <c r="CN1274" t="s">
        <v>553</v>
      </c>
      <c r="CO1274" s="1">
        <v>40840</v>
      </c>
      <c r="CP1274" s="1">
        <v>43595</v>
      </c>
    </row>
    <row r="1275" spans="1:94" x14ac:dyDescent="0.25">
      <c r="A1275" s="4" t="s">
        <v>4216</v>
      </c>
      <c r="B1275" t="str">
        <f xml:space="preserve"> "" &amp; 706411042058</f>
        <v>706411042058</v>
      </c>
      <c r="C1275" t="s">
        <v>591</v>
      </c>
      <c r="D1275" t="s">
        <v>591</v>
      </c>
      <c r="F1275" t="s">
        <v>551</v>
      </c>
      <c r="G1275">
        <v>1</v>
      </c>
      <c r="H1275">
        <v>1</v>
      </c>
      <c r="I1275" t="s">
        <v>97</v>
      </c>
      <c r="J1275" s="32">
        <v>15</v>
      </c>
      <c r="K1275" s="32">
        <v>45</v>
      </c>
      <c r="L1275">
        <v>0</v>
      </c>
      <c r="N1275">
        <v>0</v>
      </c>
      <c r="S1275">
        <v>2.75</v>
      </c>
      <c r="T1275">
        <v>4.75</v>
      </c>
      <c r="U1275">
        <v>2.25</v>
      </c>
      <c r="W1275">
        <v>0.31</v>
      </c>
      <c r="X1275">
        <v>1</v>
      </c>
      <c r="Y1275">
        <v>2.75</v>
      </c>
      <c r="Z1275">
        <v>5.75</v>
      </c>
      <c r="AA1275">
        <v>1.38</v>
      </c>
      <c r="AB1275">
        <v>1.2999999999999999E-2</v>
      </c>
      <c r="AC1275">
        <v>0.35</v>
      </c>
      <c r="AK1275" t="s">
        <v>98</v>
      </c>
      <c r="AM1275" t="s">
        <v>98</v>
      </c>
      <c r="AN1275" t="s">
        <v>98</v>
      </c>
      <c r="AO1275" t="s">
        <v>291</v>
      </c>
      <c r="AP1275" t="s">
        <v>99</v>
      </c>
      <c r="AQ1275" t="s">
        <v>102</v>
      </c>
      <c r="AV1275" t="s">
        <v>98</v>
      </c>
      <c r="AX1275" t="s">
        <v>4206</v>
      </c>
      <c r="BF1275" t="s">
        <v>4217</v>
      </c>
      <c r="BG1275" t="s">
        <v>98</v>
      </c>
      <c r="BH1275" t="s">
        <v>98</v>
      </c>
      <c r="BI1275" t="s">
        <v>98</v>
      </c>
      <c r="BK1275" t="s">
        <v>138</v>
      </c>
      <c r="CA1275" t="s">
        <v>4216</v>
      </c>
      <c r="CB1275" t="s">
        <v>4206</v>
      </c>
      <c r="CL1275" t="s">
        <v>98</v>
      </c>
      <c r="CM1275" t="s">
        <v>98</v>
      </c>
      <c r="CN1275" t="s">
        <v>553</v>
      </c>
      <c r="CO1275" s="1">
        <v>40840</v>
      </c>
      <c r="CP1275" s="1">
        <v>43595</v>
      </c>
    </row>
    <row r="1276" spans="1:94" x14ac:dyDescent="0.25">
      <c r="A1276" s="4" t="s">
        <v>4218</v>
      </c>
      <c r="B1276" t="str">
        <f xml:space="preserve"> "" &amp; 706411042065</f>
        <v>706411042065</v>
      </c>
      <c r="C1276" t="s">
        <v>4219</v>
      </c>
      <c r="D1276" t="s">
        <v>591</v>
      </c>
      <c r="F1276" t="s">
        <v>551</v>
      </c>
      <c r="G1276">
        <v>1</v>
      </c>
      <c r="H1276">
        <v>1</v>
      </c>
      <c r="I1276" t="s">
        <v>97</v>
      </c>
      <c r="J1276" s="32">
        <v>15</v>
      </c>
      <c r="K1276" s="32">
        <v>45</v>
      </c>
      <c r="L1276">
        <v>0</v>
      </c>
      <c r="N1276">
        <v>0</v>
      </c>
      <c r="S1276">
        <v>2.75</v>
      </c>
      <c r="T1276">
        <v>4.75</v>
      </c>
      <c r="U1276">
        <v>2.25</v>
      </c>
      <c r="W1276">
        <v>0.31</v>
      </c>
      <c r="X1276">
        <v>1</v>
      </c>
      <c r="Y1276">
        <v>2.75</v>
      </c>
      <c r="Z1276">
        <v>5.75</v>
      </c>
      <c r="AA1276">
        <v>1.38</v>
      </c>
      <c r="AB1276">
        <v>1.2999999999999999E-2</v>
      </c>
      <c r="AC1276">
        <v>0.35</v>
      </c>
      <c r="AK1276" t="s">
        <v>98</v>
      </c>
      <c r="AM1276" t="s">
        <v>98</v>
      </c>
      <c r="AN1276" t="s">
        <v>98</v>
      </c>
      <c r="AO1276" t="s">
        <v>291</v>
      </c>
      <c r="AP1276" t="s">
        <v>99</v>
      </c>
      <c r="AQ1276" t="s">
        <v>102</v>
      </c>
      <c r="AV1276" t="s">
        <v>98</v>
      </c>
      <c r="AX1276" t="s">
        <v>4206</v>
      </c>
      <c r="BF1276" t="s">
        <v>4220</v>
      </c>
      <c r="BG1276" t="s">
        <v>98</v>
      </c>
      <c r="BH1276" t="s">
        <v>98</v>
      </c>
      <c r="BI1276" t="s">
        <v>98</v>
      </c>
      <c r="BK1276" t="s">
        <v>138</v>
      </c>
      <c r="CA1276" t="s">
        <v>4218</v>
      </c>
      <c r="CB1276" t="s">
        <v>4206</v>
      </c>
      <c r="CL1276" t="s">
        <v>98</v>
      </c>
      <c r="CM1276" t="s">
        <v>98</v>
      </c>
      <c r="CN1276" t="s">
        <v>553</v>
      </c>
      <c r="CO1276" s="1">
        <v>40840</v>
      </c>
      <c r="CP1276" s="1">
        <v>43595</v>
      </c>
    </row>
    <row r="1277" spans="1:94" x14ac:dyDescent="0.25">
      <c r="A1277" s="4" t="s">
        <v>4221</v>
      </c>
      <c r="B1277" t="str">
        <f xml:space="preserve"> "" &amp; 706411042034</f>
        <v>706411042034</v>
      </c>
      <c r="C1277" t="s">
        <v>4222</v>
      </c>
      <c r="D1277" t="s">
        <v>4223</v>
      </c>
      <c r="F1277" t="s">
        <v>551</v>
      </c>
      <c r="G1277">
        <v>1</v>
      </c>
      <c r="H1277">
        <v>1</v>
      </c>
      <c r="I1277" t="s">
        <v>97</v>
      </c>
      <c r="J1277" s="32">
        <v>15</v>
      </c>
      <c r="K1277" s="32">
        <v>45</v>
      </c>
      <c r="L1277">
        <v>0</v>
      </c>
      <c r="N1277">
        <v>0</v>
      </c>
      <c r="S1277">
        <v>2.75</v>
      </c>
      <c r="T1277">
        <v>4.75</v>
      </c>
      <c r="U1277">
        <v>2.25</v>
      </c>
      <c r="W1277">
        <v>0.31</v>
      </c>
      <c r="X1277">
        <v>1</v>
      </c>
      <c r="Y1277">
        <v>2.75</v>
      </c>
      <c r="Z1277">
        <v>5.75</v>
      </c>
      <c r="AA1277">
        <v>1.38</v>
      </c>
      <c r="AB1277">
        <v>1.2999999999999999E-2</v>
      </c>
      <c r="AC1277">
        <v>0.35</v>
      </c>
      <c r="AK1277" t="s">
        <v>98</v>
      </c>
      <c r="AM1277" t="s">
        <v>98</v>
      </c>
      <c r="AN1277" t="s">
        <v>98</v>
      </c>
      <c r="AO1277" t="s">
        <v>291</v>
      </c>
      <c r="AP1277" t="s">
        <v>99</v>
      </c>
      <c r="AQ1277" t="s">
        <v>102</v>
      </c>
      <c r="AV1277" t="s">
        <v>98</v>
      </c>
      <c r="AX1277" t="s">
        <v>4206</v>
      </c>
      <c r="BF1277" t="s">
        <v>4224</v>
      </c>
      <c r="BG1277" t="s">
        <v>98</v>
      </c>
      <c r="BH1277" t="s">
        <v>98</v>
      </c>
      <c r="BI1277" t="s">
        <v>98</v>
      </c>
      <c r="BK1277" t="s">
        <v>138</v>
      </c>
      <c r="CA1277" t="s">
        <v>4221</v>
      </c>
      <c r="CB1277" t="s">
        <v>4206</v>
      </c>
      <c r="CL1277" t="s">
        <v>98</v>
      </c>
      <c r="CM1277" t="s">
        <v>98</v>
      </c>
      <c r="CN1277" t="s">
        <v>553</v>
      </c>
      <c r="CO1277" s="1">
        <v>40840</v>
      </c>
      <c r="CP1277" s="1">
        <v>43595</v>
      </c>
    </row>
    <row r="1278" spans="1:94" x14ac:dyDescent="0.25">
      <c r="A1278" s="4" t="s">
        <v>4225</v>
      </c>
      <c r="B1278" t="str">
        <f xml:space="preserve"> "" &amp; 706411011832</f>
        <v>706411011832</v>
      </c>
      <c r="D1278" t="s">
        <v>591</v>
      </c>
      <c r="F1278" t="s">
        <v>551</v>
      </c>
      <c r="G1278">
        <v>1</v>
      </c>
      <c r="H1278">
        <v>1</v>
      </c>
      <c r="I1278" t="s">
        <v>97</v>
      </c>
      <c r="J1278" s="32">
        <v>18</v>
      </c>
      <c r="K1278" s="32">
        <v>54</v>
      </c>
      <c r="L1278">
        <v>0</v>
      </c>
      <c r="N1278">
        <v>0</v>
      </c>
      <c r="S1278">
        <v>1</v>
      </c>
      <c r="T1278">
        <v>4.5</v>
      </c>
      <c r="U1278">
        <v>2.5</v>
      </c>
      <c r="W1278">
        <v>0.26</v>
      </c>
      <c r="X1278">
        <v>1</v>
      </c>
      <c r="Y1278">
        <v>3</v>
      </c>
      <c r="Z1278">
        <v>4.75</v>
      </c>
      <c r="AA1278">
        <v>1.25</v>
      </c>
      <c r="AB1278">
        <v>0.01</v>
      </c>
      <c r="AC1278">
        <v>0.31</v>
      </c>
      <c r="AK1278" t="s">
        <v>98</v>
      </c>
      <c r="AM1278" t="s">
        <v>98</v>
      </c>
      <c r="AN1278" t="s">
        <v>98</v>
      </c>
      <c r="AO1278" t="s">
        <v>291</v>
      </c>
      <c r="AP1278" t="s">
        <v>99</v>
      </c>
      <c r="AQ1278" t="s">
        <v>102</v>
      </c>
      <c r="AV1278" t="s">
        <v>98</v>
      </c>
      <c r="AX1278" t="s">
        <v>146</v>
      </c>
      <c r="BF1278" t="s">
        <v>4226</v>
      </c>
      <c r="BG1278" t="s">
        <v>98</v>
      </c>
      <c r="BH1278" t="s">
        <v>98</v>
      </c>
      <c r="BI1278" t="s">
        <v>98</v>
      </c>
      <c r="BK1278" t="s">
        <v>138</v>
      </c>
      <c r="CB1278" t="s">
        <v>146</v>
      </c>
      <c r="CL1278" t="s">
        <v>98</v>
      </c>
      <c r="CM1278" t="s">
        <v>98</v>
      </c>
      <c r="CN1278" t="s">
        <v>553</v>
      </c>
      <c r="CO1278" s="1">
        <v>43412</v>
      </c>
      <c r="CP1278" s="1">
        <v>43412</v>
      </c>
    </row>
    <row r="1279" spans="1:94" x14ac:dyDescent="0.25">
      <c r="A1279" s="4" t="s">
        <v>4227</v>
      </c>
      <c r="B1279" t="str">
        <f xml:space="preserve"> "" &amp; 706411042072</f>
        <v>706411042072</v>
      </c>
      <c r="C1279" t="s">
        <v>4228</v>
      </c>
      <c r="D1279" t="s">
        <v>4229</v>
      </c>
      <c r="F1279" t="s">
        <v>551</v>
      </c>
      <c r="G1279">
        <v>1</v>
      </c>
      <c r="H1279">
        <v>1</v>
      </c>
      <c r="I1279" t="s">
        <v>97</v>
      </c>
      <c r="J1279" s="32">
        <v>15</v>
      </c>
      <c r="K1279" s="32">
        <v>45</v>
      </c>
      <c r="L1279">
        <v>0</v>
      </c>
      <c r="N1279">
        <v>0</v>
      </c>
      <c r="S1279">
        <v>2.75</v>
      </c>
      <c r="T1279">
        <v>4.75</v>
      </c>
      <c r="U1279">
        <v>2.25</v>
      </c>
      <c r="W1279">
        <v>0.33</v>
      </c>
      <c r="X1279">
        <v>1</v>
      </c>
      <c r="Y1279">
        <v>2.75</v>
      </c>
      <c r="Z1279">
        <v>5.75</v>
      </c>
      <c r="AA1279">
        <v>1.38</v>
      </c>
      <c r="AB1279">
        <v>1.2999999999999999E-2</v>
      </c>
      <c r="AC1279">
        <v>0.37</v>
      </c>
      <c r="AK1279" t="s">
        <v>98</v>
      </c>
      <c r="AM1279" t="s">
        <v>98</v>
      </c>
      <c r="AN1279" t="s">
        <v>98</v>
      </c>
      <c r="AO1279" t="s">
        <v>291</v>
      </c>
      <c r="AP1279" t="s">
        <v>99</v>
      </c>
      <c r="AQ1279" t="s">
        <v>102</v>
      </c>
      <c r="AV1279" t="s">
        <v>98</v>
      </c>
      <c r="AX1279" t="s">
        <v>4206</v>
      </c>
      <c r="BF1279" t="s">
        <v>4230</v>
      </c>
      <c r="BG1279" t="s">
        <v>98</v>
      </c>
      <c r="BH1279" t="s">
        <v>98</v>
      </c>
      <c r="BI1279" t="s">
        <v>98</v>
      </c>
      <c r="BK1279" t="s">
        <v>138</v>
      </c>
      <c r="CA1279" t="s">
        <v>4227</v>
      </c>
      <c r="CB1279" t="s">
        <v>4206</v>
      </c>
      <c r="CL1279" t="s">
        <v>98</v>
      </c>
      <c r="CM1279" t="s">
        <v>98</v>
      </c>
      <c r="CN1279" t="s">
        <v>553</v>
      </c>
      <c r="CO1279" s="1">
        <v>40840</v>
      </c>
      <c r="CP1279" s="1">
        <v>43595</v>
      </c>
    </row>
    <row r="1280" spans="1:94" x14ac:dyDescent="0.25">
      <c r="A1280" s="4" t="s">
        <v>4231</v>
      </c>
      <c r="B1280" t="str">
        <f xml:space="preserve"> "" &amp; 706411042089</f>
        <v>706411042089</v>
      </c>
      <c r="C1280" t="s">
        <v>4232</v>
      </c>
      <c r="D1280" t="s">
        <v>4233</v>
      </c>
      <c r="F1280" t="s">
        <v>551</v>
      </c>
      <c r="G1280">
        <v>1</v>
      </c>
      <c r="H1280">
        <v>1</v>
      </c>
      <c r="I1280" t="s">
        <v>97</v>
      </c>
      <c r="J1280" s="32">
        <v>15</v>
      </c>
      <c r="K1280" s="32">
        <v>45</v>
      </c>
      <c r="L1280">
        <v>0</v>
      </c>
      <c r="N1280">
        <v>0</v>
      </c>
      <c r="S1280">
        <v>2.75</v>
      </c>
      <c r="T1280">
        <v>5.75</v>
      </c>
      <c r="U1280">
        <v>1.38</v>
      </c>
      <c r="W1280">
        <v>0.31</v>
      </c>
      <c r="X1280">
        <v>1</v>
      </c>
      <c r="Y1280">
        <v>2.75</v>
      </c>
      <c r="Z1280">
        <v>5.75</v>
      </c>
      <c r="AA1280">
        <v>1.38</v>
      </c>
      <c r="AB1280">
        <v>1.2999999999999999E-2</v>
      </c>
      <c r="AC1280">
        <v>0.33</v>
      </c>
      <c r="AK1280" t="s">
        <v>98</v>
      </c>
      <c r="AM1280" t="s">
        <v>98</v>
      </c>
      <c r="AN1280" t="s">
        <v>98</v>
      </c>
      <c r="AO1280" t="s">
        <v>291</v>
      </c>
      <c r="AP1280" t="s">
        <v>99</v>
      </c>
      <c r="AQ1280" t="s">
        <v>102</v>
      </c>
      <c r="AV1280" t="s">
        <v>98</v>
      </c>
      <c r="AX1280" t="s">
        <v>4206</v>
      </c>
      <c r="BF1280" t="s">
        <v>4234</v>
      </c>
      <c r="BG1280" t="s">
        <v>98</v>
      </c>
      <c r="BH1280" t="s">
        <v>98</v>
      </c>
      <c r="BI1280" t="s">
        <v>98</v>
      </c>
      <c r="BK1280" t="s">
        <v>138</v>
      </c>
      <c r="CA1280" t="s">
        <v>4231</v>
      </c>
      <c r="CB1280" t="s">
        <v>4206</v>
      </c>
      <c r="CL1280" t="s">
        <v>98</v>
      </c>
      <c r="CM1280" t="s">
        <v>98</v>
      </c>
      <c r="CO1280" s="1">
        <v>40840</v>
      </c>
      <c r="CP1280" s="1">
        <v>43595</v>
      </c>
    </row>
    <row r="1281" spans="1:94" x14ac:dyDescent="0.25">
      <c r="A1281" s="4" t="s">
        <v>4235</v>
      </c>
      <c r="B1281" t="str">
        <f xml:space="preserve"> "" &amp; 706411029042</f>
        <v>706411029042</v>
      </c>
      <c r="C1281" t="s">
        <v>4236</v>
      </c>
      <c r="D1281" t="s">
        <v>4237</v>
      </c>
      <c r="F1281" t="s">
        <v>551</v>
      </c>
      <c r="G1281">
        <v>1</v>
      </c>
      <c r="H1281">
        <v>1</v>
      </c>
      <c r="I1281" t="s">
        <v>97</v>
      </c>
      <c r="J1281" s="32">
        <v>25</v>
      </c>
      <c r="K1281" s="32">
        <v>75</v>
      </c>
      <c r="L1281">
        <v>0</v>
      </c>
      <c r="N1281">
        <v>0</v>
      </c>
      <c r="S1281">
        <v>1</v>
      </c>
      <c r="T1281">
        <v>1.5</v>
      </c>
      <c r="U1281">
        <v>4.5</v>
      </c>
      <c r="W1281">
        <v>0.28999999999999998</v>
      </c>
      <c r="X1281">
        <v>1</v>
      </c>
      <c r="Y1281">
        <v>1.63</v>
      </c>
      <c r="Z1281">
        <v>5.5</v>
      </c>
      <c r="AA1281">
        <v>3.13</v>
      </c>
      <c r="AB1281">
        <v>1.6E-2</v>
      </c>
      <c r="AC1281">
        <v>0.35</v>
      </c>
      <c r="AK1281" t="s">
        <v>98</v>
      </c>
      <c r="AM1281" t="s">
        <v>98</v>
      </c>
      <c r="AN1281" t="s">
        <v>98</v>
      </c>
      <c r="AO1281" t="s">
        <v>98</v>
      </c>
      <c r="AP1281" t="s">
        <v>99</v>
      </c>
      <c r="AQ1281" t="s">
        <v>102</v>
      </c>
      <c r="AV1281" t="s">
        <v>98</v>
      </c>
      <c r="AX1281" t="s">
        <v>146</v>
      </c>
      <c r="BF1281" t="s">
        <v>4238</v>
      </c>
      <c r="BG1281" t="s">
        <v>98</v>
      </c>
      <c r="BH1281" t="s">
        <v>98</v>
      </c>
      <c r="BI1281" t="s">
        <v>98</v>
      </c>
      <c r="BJ1281" t="s">
        <v>291</v>
      </c>
      <c r="BK1281" t="s">
        <v>292</v>
      </c>
      <c r="CA1281" t="s">
        <v>4235</v>
      </c>
      <c r="CB1281" t="s">
        <v>146</v>
      </c>
      <c r="CL1281" t="s">
        <v>98</v>
      </c>
      <c r="CM1281" t="s">
        <v>98</v>
      </c>
      <c r="CN1281" t="s">
        <v>553</v>
      </c>
      <c r="CO1281" s="1">
        <v>43595</v>
      </c>
      <c r="CP1281" s="1">
        <v>43595</v>
      </c>
    </row>
    <row r="1282" spans="1:94" x14ac:dyDescent="0.25">
      <c r="A1282" s="4" t="s">
        <v>4239</v>
      </c>
      <c r="B1282" t="str">
        <f xml:space="preserve"> "" &amp; 706411042096</f>
        <v>706411042096</v>
      </c>
      <c r="C1282" t="s">
        <v>4240</v>
      </c>
      <c r="D1282" t="s">
        <v>4237</v>
      </c>
      <c r="F1282" t="s">
        <v>551</v>
      </c>
      <c r="G1282">
        <v>1</v>
      </c>
      <c r="H1282">
        <v>1</v>
      </c>
      <c r="I1282" t="s">
        <v>97</v>
      </c>
      <c r="J1282" s="32">
        <v>18</v>
      </c>
      <c r="K1282" s="32">
        <v>54</v>
      </c>
      <c r="L1282">
        <v>0</v>
      </c>
      <c r="N1282">
        <v>0</v>
      </c>
      <c r="S1282">
        <v>2.75</v>
      </c>
      <c r="T1282">
        <v>4.75</v>
      </c>
      <c r="U1282">
        <v>2.25</v>
      </c>
      <c r="W1282">
        <v>0.33</v>
      </c>
      <c r="X1282">
        <v>1</v>
      </c>
      <c r="Y1282">
        <v>2.75</v>
      </c>
      <c r="Z1282">
        <v>5.75</v>
      </c>
      <c r="AA1282">
        <v>1.38</v>
      </c>
      <c r="AB1282">
        <v>1.2999999999999999E-2</v>
      </c>
      <c r="AC1282">
        <v>0.37</v>
      </c>
      <c r="AK1282" t="s">
        <v>98</v>
      </c>
      <c r="AM1282" t="s">
        <v>98</v>
      </c>
      <c r="AN1282" t="s">
        <v>98</v>
      </c>
      <c r="AO1282" t="s">
        <v>291</v>
      </c>
      <c r="AP1282" t="s">
        <v>99</v>
      </c>
      <c r="AQ1282" t="s">
        <v>102</v>
      </c>
      <c r="AV1282" t="s">
        <v>98</v>
      </c>
      <c r="AX1282" t="s">
        <v>4206</v>
      </c>
      <c r="BF1282" t="s">
        <v>4241</v>
      </c>
      <c r="BG1282" t="s">
        <v>98</v>
      </c>
      <c r="BH1282" t="s">
        <v>98</v>
      </c>
      <c r="BI1282" t="s">
        <v>98</v>
      </c>
      <c r="BJ1282" t="s">
        <v>291</v>
      </c>
      <c r="BK1282" t="s">
        <v>292</v>
      </c>
      <c r="CA1282" t="s">
        <v>4239</v>
      </c>
      <c r="CB1282" t="s">
        <v>4206</v>
      </c>
      <c r="CL1282" t="s">
        <v>98</v>
      </c>
      <c r="CM1282" t="s">
        <v>98</v>
      </c>
      <c r="CN1282" t="s">
        <v>553</v>
      </c>
      <c r="CO1282" s="1">
        <v>40840</v>
      </c>
      <c r="CP1282" s="1">
        <v>43595</v>
      </c>
    </row>
    <row r="1283" spans="1:94" x14ac:dyDescent="0.25">
      <c r="A1283" s="4" t="s">
        <v>4242</v>
      </c>
      <c r="B1283" t="str">
        <f xml:space="preserve"> "" &amp; 706411028991</f>
        <v>706411028991</v>
      </c>
      <c r="C1283" t="s">
        <v>4243</v>
      </c>
      <c r="D1283" t="s">
        <v>4244</v>
      </c>
      <c r="F1283" t="s">
        <v>551</v>
      </c>
      <c r="G1283">
        <v>1</v>
      </c>
      <c r="H1283">
        <v>1</v>
      </c>
      <c r="I1283" t="s">
        <v>97</v>
      </c>
      <c r="J1283" s="32">
        <v>25</v>
      </c>
      <c r="K1283" s="32">
        <v>75</v>
      </c>
      <c r="L1283">
        <v>0</v>
      </c>
      <c r="N1283">
        <v>0</v>
      </c>
      <c r="S1283">
        <v>2</v>
      </c>
      <c r="T1283">
        <v>4.5</v>
      </c>
      <c r="U1283">
        <v>6</v>
      </c>
      <c r="W1283">
        <v>0.73</v>
      </c>
      <c r="X1283">
        <v>1</v>
      </c>
      <c r="Y1283">
        <v>2.5</v>
      </c>
      <c r="Z1283">
        <v>6.25</v>
      </c>
      <c r="AA1283">
        <v>4.75</v>
      </c>
      <c r="AB1283">
        <v>4.2999999999999997E-2</v>
      </c>
      <c r="AC1283">
        <v>0.79</v>
      </c>
      <c r="AK1283" t="s">
        <v>98</v>
      </c>
      <c r="AM1283" t="s">
        <v>98</v>
      </c>
      <c r="AN1283" t="s">
        <v>98</v>
      </c>
      <c r="AO1283" t="s">
        <v>98</v>
      </c>
      <c r="AP1283" t="s">
        <v>99</v>
      </c>
      <c r="AQ1283" t="s">
        <v>102</v>
      </c>
      <c r="AV1283" t="s">
        <v>98</v>
      </c>
      <c r="AX1283" t="s">
        <v>146</v>
      </c>
      <c r="BF1283" t="s">
        <v>4245</v>
      </c>
      <c r="BG1283" t="s">
        <v>98</v>
      </c>
      <c r="BH1283" t="s">
        <v>98</v>
      </c>
      <c r="BI1283" t="s">
        <v>98</v>
      </c>
      <c r="BK1283" t="s">
        <v>138</v>
      </c>
      <c r="CA1283" t="s">
        <v>4242</v>
      </c>
      <c r="CB1283" t="s">
        <v>146</v>
      </c>
      <c r="CL1283" t="s">
        <v>98</v>
      </c>
      <c r="CM1283" t="s">
        <v>98</v>
      </c>
      <c r="CN1283" t="s">
        <v>553</v>
      </c>
      <c r="CO1283" s="1">
        <v>43571</v>
      </c>
      <c r="CP1283" s="1">
        <v>43571</v>
      </c>
    </row>
    <row r="1284" spans="1:94" x14ac:dyDescent="0.25">
      <c r="A1284" s="4" t="s">
        <v>4246</v>
      </c>
      <c r="B1284" t="str">
        <f xml:space="preserve"> "" &amp; 706411029004</f>
        <v>706411029004</v>
      </c>
      <c r="C1284" t="s">
        <v>591</v>
      </c>
      <c r="D1284" t="s">
        <v>591</v>
      </c>
      <c r="F1284" t="s">
        <v>551</v>
      </c>
      <c r="G1284">
        <v>1</v>
      </c>
      <c r="H1284">
        <v>1</v>
      </c>
      <c r="I1284" t="s">
        <v>97</v>
      </c>
      <c r="J1284" s="32">
        <v>18</v>
      </c>
      <c r="K1284" s="32">
        <v>54</v>
      </c>
      <c r="L1284">
        <v>0</v>
      </c>
      <c r="N1284">
        <v>0</v>
      </c>
      <c r="S1284">
        <v>1.8</v>
      </c>
      <c r="T1284">
        <v>5.85</v>
      </c>
      <c r="U1284">
        <v>4.3</v>
      </c>
      <c r="W1284">
        <v>0.71</v>
      </c>
      <c r="X1284">
        <v>1</v>
      </c>
      <c r="Y1284">
        <v>2.38</v>
      </c>
      <c r="Z1284">
        <v>6</v>
      </c>
      <c r="AA1284">
        <v>5</v>
      </c>
      <c r="AB1284">
        <v>4.1000000000000002E-2</v>
      </c>
      <c r="AC1284">
        <v>0.75</v>
      </c>
      <c r="AK1284" t="s">
        <v>98</v>
      </c>
      <c r="AM1284" t="s">
        <v>98</v>
      </c>
      <c r="AN1284" t="s">
        <v>98</v>
      </c>
      <c r="AO1284" t="s">
        <v>98</v>
      </c>
      <c r="AP1284" t="s">
        <v>99</v>
      </c>
      <c r="AQ1284" t="s">
        <v>102</v>
      </c>
      <c r="AV1284" t="s">
        <v>98</v>
      </c>
      <c r="AX1284" t="s">
        <v>146</v>
      </c>
      <c r="BF1284" t="s">
        <v>4247</v>
      </c>
      <c r="BG1284" t="s">
        <v>98</v>
      </c>
      <c r="BH1284" t="s">
        <v>98</v>
      </c>
      <c r="BI1284" t="s">
        <v>98</v>
      </c>
      <c r="BK1284" t="s">
        <v>138</v>
      </c>
      <c r="CB1284" t="s">
        <v>146</v>
      </c>
      <c r="CL1284" t="s">
        <v>98</v>
      </c>
      <c r="CM1284" t="s">
        <v>98</v>
      </c>
      <c r="CN1284" t="s">
        <v>553</v>
      </c>
      <c r="CO1284" s="1">
        <v>43408</v>
      </c>
      <c r="CP1284" s="1">
        <v>43424</v>
      </c>
    </row>
    <row r="1285" spans="1:94" x14ac:dyDescent="0.25">
      <c r="A1285" s="4" t="s">
        <v>4248</v>
      </c>
      <c r="B1285" t="str">
        <f xml:space="preserve"> "" &amp; 706411042102</f>
        <v>706411042102</v>
      </c>
      <c r="C1285" t="s">
        <v>4249</v>
      </c>
      <c r="D1285" t="s">
        <v>591</v>
      </c>
      <c r="F1285" t="s">
        <v>551</v>
      </c>
      <c r="G1285">
        <v>1</v>
      </c>
      <c r="H1285">
        <v>1</v>
      </c>
      <c r="I1285" t="s">
        <v>97</v>
      </c>
      <c r="J1285" s="32">
        <v>15</v>
      </c>
      <c r="K1285" s="32">
        <v>45</v>
      </c>
      <c r="L1285">
        <v>0</v>
      </c>
      <c r="N1285">
        <v>0</v>
      </c>
      <c r="S1285">
        <v>2.75</v>
      </c>
      <c r="T1285">
        <v>4.75</v>
      </c>
      <c r="U1285">
        <v>2.25</v>
      </c>
      <c r="W1285">
        <v>0.31</v>
      </c>
      <c r="X1285">
        <v>1</v>
      </c>
      <c r="Y1285">
        <v>2.75</v>
      </c>
      <c r="Z1285">
        <v>5.75</v>
      </c>
      <c r="AA1285">
        <v>1.38</v>
      </c>
      <c r="AB1285">
        <v>1.2999999999999999E-2</v>
      </c>
      <c r="AC1285">
        <v>0.35</v>
      </c>
      <c r="AK1285" t="s">
        <v>98</v>
      </c>
      <c r="AM1285" t="s">
        <v>98</v>
      </c>
      <c r="AN1285" t="s">
        <v>98</v>
      </c>
      <c r="AO1285" t="s">
        <v>291</v>
      </c>
      <c r="AP1285" t="s">
        <v>99</v>
      </c>
      <c r="AQ1285" t="s">
        <v>102</v>
      </c>
      <c r="AV1285" t="s">
        <v>98</v>
      </c>
      <c r="AX1285" t="s">
        <v>4206</v>
      </c>
      <c r="BF1285" t="s">
        <v>4250</v>
      </c>
      <c r="BG1285" t="s">
        <v>98</v>
      </c>
      <c r="BH1285" t="s">
        <v>98</v>
      </c>
      <c r="BI1285" t="s">
        <v>98</v>
      </c>
      <c r="BK1285" t="s">
        <v>138</v>
      </c>
      <c r="CA1285" t="s">
        <v>4248</v>
      </c>
      <c r="CB1285" t="s">
        <v>4206</v>
      </c>
      <c r="CL1285" t="s">
        <v>98</v>
      </c>
      <c r="CM1285" t="s">
        <v>98</v>
      </c>
      <c r="CN1285" t="s">
        <v>553</v>
      </c>
      <c r="CO1285" s="1">
        <v>40840</v>
      </c>
      <c r="CP1285" s="1">
        <v>43595</v>
      </c>
    </row>
    <row r="1286" spans="1:94" x14ac:dyDescent="0.25">
      <c r="A1286" s="4" t="s">
        <v>4251</v>
      </c>
      <c r="B1286" t="str">
        <f xml:space="preserve"> "" &amp; 706411042010</f>
        <v>706411042010</v>
      </c>
      <c r="C1286" t="s">
        <v>4252</v>
      </c>
      <c r="D1286" t="s">
        <v>4253</v>
      </c>
      <c r="F1286" t="s">
        <v>551</v>
      </c>
      <c r="G1286">
        <v>1</v>
      </c>
      <c r="H1286">
        <v>1</v>
      </c>
      <c r="I1286" t="s">
        <v>97</v>
      </c>
      <c r="J1286" s="32">
        <v>15</v>
      </c>
      <c r="K1286" s="32">
        <v>45</v>
      </c>
      <c r="L1286">
        <v>0</v>
      </c>
      <c r="N1286">
        <v>0</v>
      </c>
      <c r="S1286">
        <v>2.75</v>
      </c>
      <c r="T1286">
        <v>4.75</v>
      </c>
      <c r="U1286">
        <v>2.25</v>
      </c>
      <c r="W1286">
        <v>0.31</v>
      </c>
      <c r="X1286">
        <v>1</v>
      </c>
      <c r="Y1286">
        <v>2.75</v>
      </c>
      <c r="Z1286">
        <v>5.75</v>
      </c>
      <c r="AA1286">
        <v>1.38</v>
      </c>
      <c r="AB1286">
        <v>1.2999999999999999E-2</v>
      </c>
      <c r="AC1286">
        <v>0.35</v>
      </c>
      <c r="AK1286" t="s">
        <v>98</v>
      </c>
      <c r="AM1286" t="s">
        <v>98</v>
      </c>
      <c r="AN1286" t="s">
        <v>98</v>
      </c>
      <c r="AO1286" t="s">
        <v>291</v>
      </c>
      <c r="AP1286" t="s">
        <v>99</v>
      </c>
      <c r="AQ1286" t="s">
        <v>102</v>
      </c>
      <c r="AV1286" t="s">
        <v>98</v>
      </c>
      <c r="AX1286" t="s">
        <v>4206</v>
      </c>
      <c r="BF1286" t="s">
        <v>4254</v>
      </c>
      <c r="BG1286" t="s">
        <v>98</v>
      </c>
      <c r="BH1286" t="s">
        <v>98</v>
      </c>
      <c r="BI1286" t="s">
        <v>98</v>
      </c>
      <c r="BJ1286" t="s">
        <v>291</v>
      </c>
      <c r="BK1286" t="s">
        <v>292</v>
      </c>
      <c r="CA1286" t="s">
        <v>4251</v>
      </c>
      <c r="CB1286" t="s">
        <v>4206</v>
      </c>
      <c r="CL1286" t="s">
        <v>98</v>
      </c>
      <c r="CM1286" t="s">
        <v>98</v>
      </c>
      <c r="CN1286" t="s">
        <v>553</v>
      </c>
      <c r="CO1286" s="1">
        <v>40840</v>
      </c>
      <c r="CP1286" s="1">
        <v>43595</v>
      </c>
    </row>
    <row r="1287" spans="1:94" x14ac:dyDescent="0.25">
      <c r="A1287" s="4" t="s">
        <v>4255</v>
      </c>
      <c r="B1287" t="str">
        <f xml:space="preserve"> "" &amp; 706411008139</f>
        <v>706411008139</v>
      </c>
      <c r="C1287" t="s">
        <v>591</v>
      </c>
      <c r="D1287" t="s">
        <v>591</v>
      </c>
      <c r="F1287" t="s">
        <v>551</v>
      </c>
      <c r="G1287">
        <v>1</v>
      </c>
      <c r="H1287">
        <v>1</v>
      </c>
      <c r="I1287" t="s">
        <v>97</v>
      </c>
      <c r="J1287" s="32">
        <v>18</v>
      </c>
      <c r="K1287" s="32">
        <v>54</v>
      </c>
      <c r="L1287">
        <v>0</v>
      </c>
      <c r="N1287">
        <v>0</v>
      </c>
      <c r="S1287">
        <v>1</v>
      </c>
      <c r="T1287">
        <v>4.5</v>
      </c>
      <c r="U1287">
        <v>2.5</v>
      </c>
      <c r="W1287">
        <v>0.24</v>
      </c>
      <c r="X1287">
        <v>1</v>
      </c>
      <c r="Y1287">
        <v>3</v>
      </c>
      <c r="Z1287">
        <v>4.75</v>
      </c>
      <c r="AA1287">
        <v>1.25</v>
      </c>
      <c r="AB1287">
        <v>0.01</v>
      </c>
      <c r="AC1287">
        <v>0.28999999999999998</v>
      </c>
      <c r="AK1287" t="s">
        <v>98</v>
      </c>
      <c r="AM1287" t="s">
        <v>98</v>
      </c>
      <c r="AN1287" t="s">
        <v>98</v>
      </c>
      <c r="AO1287" t="s">
        <v>291</v>
      </c>
      <c r="AP1287" t="s">
        <v>99</v>
      </c>
      <c r="AQ1287" t="s">
        <v>102</v>
      </c>
      <c r="AV1287" t="s">
        <v>98</v>
      </c>
      <c r="AX1287" t="s">
        <v>146</v>
      </c>
      <c r="BF1287" t="s">
        <v>4256</v>
      </c>
      <c r="BG1287" t="s">
        <v>98</v>
      </c>
      <c r="BH1287" t="s">
        <v>98</v>
      </c>
      <c r="BI1287" t="s">
        <v>98</v>
      </c>
      <c r="BJ1287" t="s">
        <v>291</v>
      </c>
      <c r="BK1287" t="s">
        <v>292</v>
      </c>
      <c r="CB1287" t="s">
        <v>146</v>
      </c>
      <c r="CL1287" t="s">
        <v>98</v>
      </c>
      <c r="CM1287" t="s">
        <v>98</v>
      </c>
      <c r="CN1287" t="s">
        <v>553</v>
      </c>
      <c r="CO1287" s="1">
        <v>43412</v>
      </c>
      <c r="CP1287" s="1">
        <v>43412</v>
      </c>
    </row>
    <row r="1288" spans="1:94" x14ac:dyDescent="0.25">
      <c r="A1288" s="4" t="s">
        <v>4257</v>
      </c>
      <c r="B1288" t="str">
        <f xml:space="preserve"> "" &amp; 706411042027</f>
        <v>706411042027</v>
      </c>
      <c r="C1288" t="s">
        <v>4258</v>
      </c>
      <c r="D1288" t="s">
        <v>4259</v>
      </c>
      <c r="F1288" t="s">
        <v>551</v>
      </c>
      <c r="G1288">
        <v>1</v>
      </c>
      <c r="H1288">
        <v>1</v>
      </c>
      <c r="I1288" t="s">
        <v>97</v>
      </c>
      <c r="J1288" s="32">
        <v>15</v>
      </c>
      <c r="K1288" s="32">
        <v>45</v>
      </c>
      <c r="L1288">
        <v>0</v>
      </c>
      <c r="N1288">
        <v>0</v>
      </c>
      <c r="S1288">
        <v>2.75</v>
      </c>
      <c r="T1288">
        <v>5.75</v>
      </c>
      <c r="U1288">
        <v>1.38</v>
      </c>
      <c r="W1288">
        <v>0.31</v>
      </c>
      <c r="X1288">
        <v>1</v>
      </c>
      <c r="Y1288">
        <v>2.75</v>
      </c>
      <c r="Z1288">
        <v>5.75</v>
      </c>
      <c r="AA1288">
        <v>1.38</v>
      </c>
      <c r="AB1288">
        <v>1.2999999999999999E-2</v>
      </c>
      <c r="AC1288">
        <v>0.35</v>
      </c>
      <c r="AK1288" t="s">
        <v>98</v>
      </c>
      <c r="AM1288" t="s">
        <v>98</v>
      </c>
      <c r="AN1288" t="s">
        <v>98</v>
      </c>
      <c r="AO1288" t="s">
        <v>291</v>
      </c>
      <c r="AP1288" t="s">
        <v>99</v>
      </c>
      <c r="AQ1288" t="s">
        <v>102</v>
      </c>
      <c r="AV1288" t="s">
        <v>98</v>
      </c>
      <c r="AX1288" t="s">
        <v>4206</v>
      </c>
      <c r="BF1288" t="s">
        <v>4260</v>
      </c>
      <c r="BG1288" t="s">
        <v>98</v>
      </c>
      <c r="BH1288" t="s">
        <v>98</v>
      </c>
      <c r="BI1288" t="s">
        <v>98</v>
      </c>
      <c r="BJ1288" t="s">
        <v>291</v>
      </c>
      <c r="BK1288" t="s">
        <v>292</v>
      </c>
      <c r="CA1288" t="s">
        <v>4257</v>
      </c>
      <c r="CB1288" t="s">
        <v>4206</v>
      </c>
      <c r="CL1288" t="s">
        <v>98</v>
      </c>
      <c r="CM1288" t="s">
        <v>98</v>
      </c>
      <c r="CN1288" t="s">
        <v>553</v>
      </c>
      <c r="CO1288" s="1">
        <v>40840</v>
      </c>
      <c r="CP1288" s="1">
        <v>43595</v>
      </c>
    </row>
    <row r="1289" spans="1:94" x14ac:dyDescent="0.25">
      <c r="A1289" s="4" t="s">
        <v>4261</v>
      </c>
      <c r="B1289" t="str">
        <f xml:space="preserve"> "" &amp; 706411042126</f>
        <v>706411042126</v>
      </c>
      <c r="C1289" t="s">
        <v>4262</v>
      </c>
      <c r="D1289" t="s">
        <v>591</v>
      </c>
      <c r="F1289" t="s">
        <v>551</v>
      </c>
      <c r="G1289">
        <v>1</v>
      </c>
      <c r="H1289">
        <v>1</v>
      </c>
      <c r="I1289" t="s">
        <v>97</v>
      </c>
      <c r="J1289" s="32">
        <v>15</v>
      </c>
      <c r="K1289" s="32">
        <v>45</v>
      </c>
      <c r="L1289">
        <v>0</v>
      </c>
      <c r="N1289">
        <v>0</v>
      </c>
      <c r="S1289">
        <v>2.75</v>
      </c>
      <c r="T1289">
        <v>4.75</v>
      </c>
      <c r="U1289">
        <v>2.25</v>
      </c>
      <c r="W1289">
        <v>0.28999999999999998</v>
      </c>
      <c r="X1289">
        <v>1</v>
      </c>
      <c r="Y1289">
        <v>2.75</v>
      </c>
      <c r="Z1289">
        <v>5.75</v>
      </c>
      <c r="AA1289">
        <v>1.38</v>
      </c>
      <c r="AB1289">
        <v>1.2999999999999999E-2</v>
      </c>
      <c r="AC1289">
        <v>0.35</v>
      </c>
      <c r="AK1289" t="s">
        <v>98</v>
      </c>
      <c r="AM1289" t="s">
        <v>98</v>
      </c>
      <c r="AN1289" t="s">
        <v>98</v>
      </c>
      <c r="AO1289" t="s">
        <v>291</v>
      </c>
      <c r="AP1289" t="s">
        <v>99</v>
      </c>
      <c r="AQ1289" t="s">
        <v>102</v>
      </c>
      <c r="AV1289" t="s">
        <v>98</v>
      </c>
      <c r="AX1289" t="s">
        <v>4206</v>
      </c>
      <c r="BF1289" t="s">
        <v>4263</v>
      </c>
      <c r="BG1289" t="s">
        <v>98</v>
      </c>
      <c r="BH1289" t="s">
        <v>98</v>
      </c>
      <c r="BI1289" t="s">
        <v>98</v>
      </c>
      <c r="BK1289" t="s">
        <v>138</v>
      </c>
      <c r="CA1289" t="s">
        <v>4261</v>
      </c>
      <c r="CB1289" t="s">
        <v>4206</v>
      </c>
      <c r="CL1289" t="s">
        <v>98</v>
      </c>
      <c r="CM1289" t="s">
        <v>98</v>
      </c>
      <c r="CO1289" s="1">
        <v>40840</v>
      </c>
      <c r="CP1289" s="1">
        <v>43595</v>
      </c>
    </row>
    <row r="1290" spans="1:94" x14ac:dyDescent="0.25">
      <c r="A1290" s="4" t="s">
        <v>4264</v>
      </c>
      <c r="B1290" t="str">
        <f xml:space="preserve"> "" &amp; 706411042171</f>
        <v>706411042171</v>
      </c>
      <c r="C1290" t="s">
        <v>4265</v>
      </c>
      <c r="D1290" t="s">
        <v>4266</v>
      </c>
      <c r="F1290" t="s">
        <v>551</v>
      </c>
      <c r="G1290">
        <v>1</v>
      </c>
      <c r="H1290">
        <v>1</v>
      </c>
      <c r="I1290" t="s">
        <v>97</v>
      </c>
      <c r="J1290" s="32">
        <v>15</v>
      </c>
      <c r="K1290" s="32">
        <v>45</v>
      </c>
      <c r="L1290">
        <v>0</v>
      </c>
      <c r="N1290">
        <v>0</v>
      </c>
      <c r="S1290">
        <v>2.75</v>
      </c>
      <c r="T1290">
        <v>4.75</v>
      </c>
      <c r="U1290">
        <v>2.25</v>
      </c>
      <c r="W1290">
        <v>0.31</v>
      </c>
      <c r="X1290">
        <v>1</v>
      </c>
      <c r="Y1290">
        <v>2.75</v>
      </c>
      <c r="Z1290">
        <v>5.75</v>
      </c>
      <c r="AA1290">
        <v>1.38</v>
      </c>
      <c r="AB1290">
        <v>1.2999999999999999E-2</v>
      </c>
      <c r="AC1290">
        <v>0.33</v>
      </c>
      <c r="AK1290" t="s">
        <v>98</v>
      </c>
      <c r="AM1290" t="s">
        <v>98</v>
      </c>
      <c r="AN1290" t="s">
        <v>98</v>
      </c>
      <c r="AO1290" t="s">
        <v>291</v>
      </c>
      <c r="AP1290" t="s">
        <v>99</v>
      </c>
      <c r="AQ1290" t="s">
        <v>102</v>
      </c>
      <c r="AV1290" t="s">
        <v>98</v>
      </c>
      <c r="AX1290" t="s">
        <v>4267</v>
      </c>
      <c r="BF1290" t="s">
        <v>4268</v>
      </c>
      <c r="BG1290" t="s">
        <v>98</v>
      </c>
      <c r="BH1290" t="s">
        <v>98</v>
      </c>
      <c r="BI1290" t="s">
        <v>98</v>
      </c>
      <c r="BK1290" t="s">
        <v>138</v>
      </c>
      <c r="CA1290" t="s">
        <v>4264</v>
      </c>
      <c r="CB1290" t="s">
        <v>4267</v>
      </c>
      <c r="CL1290" t="s">
        <v>98</v>
      </c>
      <c r="CM1290" t="s">
        <v>98</v>
      </c>
      <c r="CN1290" t="s">
        <v>553</v>
      </c>
      <c r="CO1290" s="1">
        <v>40840</v>
      </c>
      <c r="CP1290" s="1">
        <v>43595</v>
      </c>
    </row>
    <row r="1291" spans="1:94" x14ac:dyDescent="0.25">
      <c r="A1291" s="4" t="s">
        <v>4269</v>
      </c>
      <c r="B1291" t="str">
        <f xml:space="preserve"> "" &amp; 706411042133</f>
        <v>706411042133</v>
      </c>
      <c r="C1291" t="s">
        <v>4270</v>
      </c>
      <c r="D1291" t="s">
        <v>4271</v>
      </c>
      <c r="F1291" t="s">
        <v>551</v>
      </c>
      <c r="G1291">
        <v>1</v>
      </c>
      <c r="H1291">
        <v>1</v>
      </c>
      <c r="I1291" t="s">
        <v>97</v>
      </c>
      <c r="J1291" s="32">
        <v>15</v>
      </c>
      <c r="K1291" s="32">
        <v>45</v>
      </c>
      <c r="L1291">
        <v>0</v>
      </c>
      <c r="N1291">
        <v>0</v>
      </c>
      <c r="S1291">
        <v>2.75</v>
      </c>
      <c r="T1291">
        <v>4.75</v>
      </c>
      <c r="U1291">
        <v>2.25</v>
      </c>
      <c r="W1291">
        <v>0.28999999999999998</v>
      </c>
      <c r="X1291">
        <v>1</v>
      </c>
      <c r="Y1291">
        <v>2.75</v>
      </c>
      <c r="Z1291">
        <v>5.75</v>
      </c>
      <c r="AA1291">
        <v>1.38</v>
      </c>
      <c r="AB1291">
        <v>1.2999999999999999E-2</v>
      </c>
      <c r="AC1291">
        <v>0.33</v>
      </c>
      <c r="AK1291" t="s">
        <v>98</v>
      </c>
      <c r="AM1291" t="s">
        <v>98</v>
      </c>
      <c r="AN1291" t="s">
        <v>98</v>
      </c>
      <c r="AO1291" t="s">
        <v>291</v>
      </c>
      <c r="AP1291" t="s">
        <v>99</v>
      </c>
      <c r="AQ1291" t="s">
        <v>102</v>
      </c>
      <c r="AV1291" t="s">
        <v>98</v>
      </c>
      <c r="AX1291" t="s">
        <v>4206</v>
      </c>
      <c r="BF1291" t="s">
        <v>4272</v>
      </c>
      <c r="BG1291" t="s">
        <v>98</v>
      </c>
      <c r="BH1291" t="s">
        <v>98</v>
      </c>
      <c r="BI1291" t="s">
        <v>98</v>
      </c>
      <c r="BK1291" t="s">
        <v>138</v>
      </c>
      <c r="CA1291" t="s">
        <v>4269</v>
      </c>
      <c r="CB1291" t="s">
        <v>4206</v>
      </c>
      <c r="CL1291" t="s">
        <v>98</v>
      </c>
      <c r="CM1291" t="s">
        <v>98</v>
      </c>
      <c r="CO1291" s="1">
        <v>40840</v>
      </c>
      <c r="CP1291" s="1">
        <v>43595</v>
      </c>
    </row>
    <row r="1292" spans="1:94" x14ac:dyDescent="0.25">
      <c r="A1292" s="4" t="s">
        <v>4273</v>
      </c>
      <c r="B1292" t="str">
        <f xml:space="preserve"> "" &amp; 706411042140</f>
        <v>706411042140</v>
      </c>
      <c r="C1292" t="s">
        <v>4274</v>
      </c>
      <c r="D1292" t="s">
        <v>4275</v>
      </c>
      <c r="F1292" t="s">
        <v>551</v>
      </c>
      <c r="G1292">
        <v>1</v>
      </c>
      <c r="H1292">
        <v>1</v>
      </c>
      <c r="I1292" t="s">
        <v>97</v>
      </c>
      <c r="J1292" s="32">
        <v>15</v>
      </c>
      <c r="K1292" s="32">
        <v>45</v>
      </c>
      <c r="L1292">
        <v>0</v>
      </c>
      <c r="N1292">
        <v>0</v>
      </c>
      <c r="W1292">
        <v>0.31</v>
      </c>
      <c r="X1292">
        <v>1</v>
      </c>
      <c r="Y1292">
        <v>12</v>
      </c>
      <c r="Z1292">
        <v>17.25</v>
      </c>
      <c r="AA1292">
        <v>7</v>
      </c>
      <c r="AB1292">
        <v>0.84</v>
      </c>
      <c r="AC1292">
        <v>0.35</v>
      </c>
      <c r="AK1292" t="s">
        <v>98</v>
      </c>
      <c r="AM1292" t="s">
        <v>98</v>
      </c>
      <c r="AN1292" t="s">
        <v>98</v>
      </c>
      <c r="AO1292" t="s">
        <v>291</v>
      </c>
      <c r="AP1292" t="s">
        <v>99</v>
      </c>
      <c r="AQ1292" t="s">
        <v>102</v>
      </c>
      <c r="AV1292" t="s">
        <v>98</v>
      </c>
      <c r="AX1292" t="s">
        <v>4206</v>
      </c>
      <c r="BF1292" t="s">
        <v>4276</v>
      </c>
      <c r="BG1292" t="s">
        <v>98</v>
      </c>
      <c r="BH1292" t="s">
        <v>98</v>
      </c>
      <c r="BI1292" t="s">
        <v>98</v>
      </c>
      <c r="BK1292" t="s">
        <v>138</v>
      </c>
      <c r="CA1292" t="s">
        <v>4273</v>
      </c>
      <c r="CB1292" t="s">
        <v>4206</v>
      </c>
      <c r="CL1292" t="s">
        <v>98</v>
      </c>
      <c r="CM1292" t="s">
        <v>98</v>
      </c>
      <c r="CO1292" s="1">
        <v>40840</v>
      </c>
      <c r="CP1292" s="1">
        <v>43595</v>
      </c>
    </row>
    <row r="1293" spans="1:94" x14ac:dyDescent="0.25">
      <c r="A1293" s="4" t="s">
        <v>4277</v>
      </c>
      <c r="B1293" t="str">
        <f xml:space="preserve"> "" &amp; 706411042157</f>
        <v>706411042157</v>
      </c>
      <c r="C1293" t="s">
        <v>4278</v>
      </c>
      <c r="D1293" t="s">
        <v>4279</v>
      </c>
      <c r="F1293" t="s">
        <v>551</v>
      </c>
      <c r="G1293">
        <v>1</v>
      </c>
      <c r="H1293">
        <v>1</v>
      </c>
      <c r="I1293" t="s">
        <v>97</v>
      </c>
      <c r="J1293" s="32">
        <v>15</v>
      </c>
      <c r="K1293" s="32">
        <v>45</v>
      </c>
      <c r="L1293">
        <v>0</v>
      </c>
      <c r="N1293">
        <v>0</v>
      </c>
      <c r="S1293">
        <v>2.75</v>
      </c>
      <c r="T1293">
        <v>4.75</v>
      </c>
      <c r="U1293">
        <v>2.75</v>
      </c>
      <c r="W1293">
        <v>0.31</v>
      </c>
      <c r="X1293">
        <v>1</v>
      </c>
      <c r="Y1293">
        <v>2.75</v>
      </c>
      <c r="Z1293">
        <v>5.75</v>
      </c>
      <c r="AA1293">
        <v>1.38</v>
      </c>
      <c r="AB1293">
        <v>1.2999999999999999E-2</v>
      </c>
      <c r="AC1293">
        <v>0.33</v>
      </c>
      <c r="AK1293" t="s">
        <v>98</v>
      </c>
      <c r="AM1293" t="s">
        <v>98</v>
      </c>
      <c r="AN1293" t="s">
        <v>98</v>
      </c>
      <c r="AO1293" t="s">
        <v>291</v>
      </c>
      <c r="AP1293" t="s">
        <v>99</v>
      </c>
      <c r="AQ1293" t="s">
        <v>102</v>
      </c>
      <c r="AV1293" t="s">
        <v>98</v>
      </c>
      <c r="AX1293" t="s">
        <v>4206</v>
      </c>
      <c r="BF1293" t="s">
        <v>4280</v>
      </c>
      <c r="BG1293" t="s">
        <v>98</v>
      </c>
      <c r="BH1293" t="s">
        <v>98</v>
      </c>
      <c r="BI1293" t="s">
        <v>98</v>
      </c>
      <c r="BJ1293" t="s">
        <v>291</v>
      </c>
      <c r="BK1293" t="s">
        <v>292</v>
      </c>
      <c r="CA1293" t="s">
        <v>4277</v>
      </c>
      <c r="CB1293" t="s">
        <v>4206</v>
      </c>
      <c r="CL1293" t="s">
        <v>98</v>
      </c>
      <c r="CM1293" t="s">
        <v>98</v>
      </c>
      <c r="CN1293" t="s">
        <v>553</v>
      </c>
      <c r="CO1293" s="1">
        <v>40840</v>
      </c>
      <c r="CP1293" s="1">
        <v>43595</v>
      </c>
    </row>
    <row r="1294" spans="1:94" x14ac:dyDescent="0.25">
      <c r="A1294" s="4" t="s">
        <v>4281</v>
      </c>
      <c r="B1294" t="str">
        <f xml:space="preserve"> "" &amp; 706411055836</f>
        <v>706411055836</v>
      </c>
      <c r="C1294" t="s">
        <v>4282</v>
      </c>
      <c r="D1294" t="s">
        <v>4283</v>
      </c>
      <c r="F1294" t="s">
        <v>551</v>
      </c>
      <c r="G1294">
        <v>1</v>
      </c>
      <c r="H1294">
        <v>1</v>
      </c>
      <c r="I1294" t="s">
        <v>97</v>
      </c>
      <c r="J1294" s="32">
        <v>19</v>
      </c>
      <c r="K1294" s="32">
        <v>57</v>
      </c>
      <c r="L1294">
        <v>0</v>
      </c>
      <c r="N1294">
        <v>0</v>
      </c>
      <c r="S1294">
        <v>4.75</v>
      </c>
      <c r="T1294">
        <v>4.75</v>
      </c>
      <c r="U1294">
        <v>2.25</v>
      </c>
      <c r="V1294">
        <v>1.25</v>
      </c>
      <c r="W1294">
        <v>0.33</v>
      </c>
      <c r="X1294">
        <v>1</v>
      </c>
      <c r="Y1294">
        <v>12</v>
      </c>
      <c r="Z1294">
        <v>17.25</v>
      </c>
      <c r="AA1294">
        <v>7</v>
      </c>
      <c r="AB1294">
        <v>0.83899999999999997</v>
      </c>
      <c r="AC1294">
        <v>0.37</v>
      </c>
      <c r="AK1294" t="s">
        <v>98</v>
      </c>
      <c r="AM1294" t="s">
        <v>98</v>
      </c>
      <c r="AN1294" t="s">
        <v>98</v>
      </c>
      <c r="AO1294" t="s">
        <v>291</v>
      </c>
      <c r="AP1294" t="s">
        <v>99</v>
      </c>
      <c r="AQ1294" t="s">
        <v>102</v>
      </c>
      <c r="AV1294" t="s">
        <v>98</v>
      </c>
      <c r="AZ1294" t="s">
        <v>109</v>
      </c>
      <c r="BF1294" t="s">
        <v>4284</v>
      </c>
      <c r="BG1294" t="s">
        <v>98</v>
      </c>
      <c r="BH1294" t="s">
        <v>98</v>
      </c>
      <c r="BI1294" t="s">
        <v>98</v>
      </c>
      <c r="BJ1294" t="s">
        <v>291</v>
      </c>
      <c r="BK1294" t="s">
        <v>292</v>
      </c>
      <c r="CA1294" t="s">
        <v>4285</v>
      </c>
      <c r="CL1294" t="s">
        <v>98</v>
      </c>
      <c r="CM1294" t="s">
        <v>98</v>
      </c>
      <c r="CN1294" t="s">
        <v>553</v>
      </c>
      <c r="CO1294" s="1">
        <v>42633</v>
      </c>
      <c r="CP1294" s="1">
        <v>43595</v>
      </c>
    </row>
    <row r="1295" spans="1:94" x14ac:dyDescent="0.25">
      <c r="A1295" s="4" t="s">
        <v>4287</v>
      </c>
      <c r="B1295" t="str">
        <f xml:space="preserve"> "" &amp; 706411026225</f>
        <v>706411026225</v>
      </c>
      <c r="C1295" t="s">
        <v>4286</v>
      </c>
      <c r="D1295" t="s">
        <v>4288</v>
      </c>
      <c r="F1295" t="s">
        <v>551</v>
      </c>
      <c r="G1295">
        <v>1</v>
      </c>
      <c r="H1295">
        <v>1</v>
      </c>
      <c r="I1295" t="s">
        <v>97</v>
      </c>
      <c r="J1295" s="32">
        <v>17.95</v>
      </c>
      <c r="K1295" s="32">
        <v>53.85</v>
      </c>
      <c r="L1295">
        <v>0</v>
      </c>
      <c r="N1295">
        <v>0</v>
      </c>
      <c r="W1295">
        <v>0.18</v>
      </c>
      <c r="X1295">
        <v>1</v>
      </c>
      <c r="Y1295">
        <v>15</v>
      </c>
      <c r="Z1295">
        <v>16.5</v>
      </c>
      <c r="AA1295">
        <v>12.37</v>
      </c>
      <c r="AB1295">
        <v>1.77</v>
      </c>
      <c r="AC1295">
        <v>0.33</v>
      </c>
      <c r="AK1295" t="s">
        <v>98</v>
      </c>
      <c r="AM1295" t="s">
        <v>98</v>
      </c>
      <c r="AN1295" t="s">
        <v>98</v>
      </c>
      <c r="AO1295" t="s">
        <v>98</v>
      </c>
      <c r="AP1295" t="s">
        <v>99</v>
      </c>
      <c r="AQ1295" t="s">
        <v>102</v>
      </c>
      <c r="AV1295" t="s">
        <v>98</v>
      </c>
      <c r="BF1295" t="s">
        <v>4289</v>
      </c>
      <c r="BG1295" t="s">
        <v>98</v>
      </c>
      <c r="BH1295" t="s">
        <v>98</v>
      </c>
      <c r="BI1295" t="s">
        <v>98</v>
      </c>
      <c r="CA1295" t="s">
        <v>4287</v>
      </c>
      <c r="CL1295" t="s">
        <v>291</v>
      </c>
      <c r="CM1295" t="s">
        <v>98</v>
      </c>
      <c r="CO1295" s="1">
        <v>41040</v>
      </c>
      <c r="CP1295" s="1">
        <v>43595</v>
      </c>
    </row>
    <row r="1296" spans="1:94" x14ac:dyDescent="0.25">
      <c r="A1296" s="4" t="s">
        <v>4290</v>
      </c>
      <c r="B1296" t="str">
        <f xml:space="preserve"> "" &amp; 706411031403</f>
        <v>706411031403</v>
      </c>
      <c r="C1296" t="s">
        <v>4286</v>
      </c>
      <c r="D1296" t="s">
        <v>4288</v>
      </c>
      <c r="F1296" t="s">
        <v>551</v>
      </c>
      <c r="G1296">
        <v>1</v>
      </c>
      <c r="H1296">
        <v>1</v>
      </c>
      <c r="I1296" t="s">
        <v>97</v>
      </c>
      <c r="J1296" s="32">
        <v>17.95</v>
      </c>
      <c r="K1296" s="32">
        <v>53.85</v>
      </c>
      <c r="L1296">
        <v>0</v>
      </c>
      <c r="N1296">
        <v>0</v>
      </c>
      <c r="W1296">
        <v>0.18</v>
      </c>
      <c r="X1296">
        <v>1</v>
      </c>
      <c r="Y1296">
        <v>15</v>
      </c>
      <c r="Z1296">
        <v>16.5</v>
      </c>
      <c r="AA1296">
        <v>12.37</v>
      </c>
      <c r="AB1296">
        <v>1.77</v>
      </c>
      <c r="AC1296">
        <v>0.33</v>
      </c>
      <c r="AK1296" t="s">
        <v>98</v>
      </c>
      <c r="AM1296" t="s">
        <v>98</v>
      </c>
      <c r="AN1296" t="s">
        <v>98</v>
      </c>
      <c r="AO1296" t="s">
        <v>98</v>
      </c>
      <c r="AP1296" t="s">
        <v>99</v>
      </c>
      <c r="AQ1296" t="s">
        <v>102</v>
      </c>
      <c r="AV1296" t="s">
        <v>98</v>
      </c>
      <c r="BF1296" t="s">
        <v>4291</v>
      </c>
      <c r="BG1296" t="s">
        <v>98</v>
      </c>
      <c r="BH1296" t="s">
        <v>98</v>
      </c>
      <c r="BI1296" t="s">
        <v>98</v>
      </c>
      <c r="CA1296" t="s">
        <v>4290</v>
      </c>
      <c r="CL1296" t="s">
        <v>291</v>
      </c>
      <c r="CM1296" t="s">
        <v>98</v>
      </c>
      <c r="CO1296" s="1">
        <v>41040</v>
      </c>
      <c r="CP1296" s="1">
        <v>43595</v>
      </c>
    </row>
    <row r="1297" spans="1:94" x14ac:dyDescent="0.25">
      <c r="A1297" s="4" t="s">
        <v>4292</v>
      </c>
      <c r="B1297" t="str">
        <f xml:space="preserve"> "" &amp; 706411040726</f>
        <v>706411040726</v>
      </c>
      <c r="C1297" t="s">
        <v>4286</v>
      </c>
      <c r="D1297" t="s">
        <v>4288</v>
      </c>
      <c r="E1297" t="s">
        <v>3336</v>
      </c>
      <c r="F1297" t="s">
        <v>534</v>
      </c>
      <c r="G1297">
        <v>1</v>
      </c>
      <c r="H1297">
        <v>1</v>
      </c>
      <c r="I1297" t="s">
        <v>97</v>
      </c>
      <c r="J1297" s="32">
        <v>17.95</v>
      </c>
      <c r="K1297" s="32">
        <v>53.85</v>
      </c>
      <c r="L1297">
        <v>0</v>
      </c>
      <c r="N1297">
        <v>0</v>
      </c>
      <c r="W1297">
        <v>0.22</v>
      </c>
      <c r="X1297">
        <v>1</v>
      </c>
      <c r="AB1297">
        <v>3.8399999999999997E-2</v>
      </c>
      <c r="AC1297">
        <v>0.32500000000000001</v>
      </c>
      <c r="AK1297" t="s">
        <v>98</v>
      </c>
      <c r="AM1297" t="s">
        <v>98</v>
      </c>
      <c r="AN1297" t="s">
        <v>98</v>
      </c>
      <c r="AO1297" t="s">
        <v>98</v>
      </c>
      <c r="AP1297" t="s">
        <v>99</v>
      </c>
      <c r="AQ1297" t="s">
        <v>102</v>
      </c>
      <c r="AV1297" t="s">
        <v>98</v>
      </c>
      <c r="BF1297" t="s">
        <v>4293</v>
      </c>
      <c r="BG1297" t="s">
        <v>98</v>
      </c>
      <c r="BH1297" t="s">
        <v>98</v>
      </c>
      <c r="BI1297" t="s">
        <v>98</v>
      </c>
      <c r="CL1297" t="s">
        <v>98</v>
      </c>
      <c r="CM1297" t="s">
        <v>98</v>
      </c>
      <c r="CP1297" s="1">
        <v>43595</v>
      </c>
    </row>
    <row r="1298" spans="1:94" x14ac:dyDescent="0.25">
      <c r="A1298" s="4" t="s">
        <v>4294</v>
      </c>
      <c r="B1298" t="str">
        <f xml:space="preserve"> "" &amp; 706411044489</f>
        <v>706411044489</v>
      </c>
      <c r="C1298" t="s">
        <v>4295</v>
      </c>
      <c r="D1298" t="s">
        <v>4288</v>
      </c>
      <c r="F1298" t="s">
        <v>534</v>
      </c>
      <c r="G1298">
        <v>1</v>
      </c>
      <c r="H1298">
        <v>1</v>
      </c>
      <c r="I1298" t="s">
        <v>97</v>
      </c>
      <c r="J1298" s="32">
        <v>19.95</v>
      </c>
      <c r="K1298" s="32">
        <v>59.85</v>
      </c>
      <c r="L1298">
        <v>0</v>
      </c>
      <c r="N1298">
        <v>0</v>
      </c>
      <c r="S1298">
        <v>1.5</v>
      </c>
      <c r="T1298">
        <v>5.75</v>
      </c>
      <c r="U1298">
        <v>2.75</v>
      </c>
      <c r="W1298">
        <v>0.22</v>
      </c>
      <c r="X1298">
        <v>1</v>
      </c>
      <c r="Y1298">
        <v>1.5</v>
      </c>
      <c r="Z1298">
        <v>5.75</v>
      </c>
      <c r="AA1298">
        <v>2.75</v>
      </c>
      <c r="AB1298">
        <v>1.4E-2</v>
      </c>
      <c r="AC1298">
        <v>0.24</v>
      </c>
      <c r="AK1298" t="s">
        <v>98</v>
      </c>
      <c r="AM1298" t="s">
        <v>98</v>
      </c>
      <c r="AN1298" t="s">
        <v>291</v>
      </c>
      <c r="AO1298" t="s">
        <v>98</v>
      </c>
      <c r="AP1298" t="s">
        <v>99</v>
      </c>
      <c r="AQ1298" t="s">
        <v>102</v>
      </c>
      <c r="AV1298" t="s">
        <v>98</v>
      </c>
      <c r="AX1298" t="s">
        <v>302</v>
      </c>
      <c r="BF1298" t="s">
        <v>4296</v>
      </c>
      <c r="BG1298" t="s">
        <v>98</v>
      </c>
      <c r="BH1298" t="s">
        <v>98</v>
      </c>
      <c r="BI1298" t="s">
        <v>98</v>
      </c>
      <c r="BK1298" t="s">
        <v>138</v>
      </c>
      <c r="CA1298" t="s">
        <v>4294</v>
      </c>
      <c r="CB1298" t="s">
        <v>302</v>
      </c>
      <c r="CL1298" t="s">
        <v>98</v>
      </c>
      <c r="CM1298" t="s">
        <v>98</v>
      </c>
      <c r="CN1298" t="s">
        <v>553</v>
      </c>
      <c r="CP1298" s="1">
        <v>43595</v>
      </c>
    </row>
    <row r="1299" spans="1:94" x14ac:dyDescent="0.25">
      <c r="A1299" s="4" t="s">
        <v>4297</v>
      </c>
      <c r="B1299" t="str">
        <f xml:space="preserve"> "" &amp; 706411044496</f>
        <v>706411044496</v>
      </c>
      <c r="C1299" t="s">
        <v>4286</v>
      </c>
      <c r="D1299" t="s">
        <v>4288</v>
      </c>
      <c r="E1299" t="s">
        <v>4298</v>
      </c>
      <c r="F1299" t="s">
        <v>534</v>
      </c>
      <c r="G1299">
        <v>1</v>
      </c>
      <c r="H1299">
        <v>1</v>
      </c>
      <c r="I1299" t="s">
        <v>97</v>
      </c>
      <c r="J1299" s="32">
        <v>17.95</v>
      </c>
      <c r="K1299" s="32">
        <v>53.85</v>
      </c>
      <c r="L1299">
        <v>0</v>
      </c>
      <c r="N1299">
        <v>0</v>
      </c>
      <c r="W1299">
        <v>0.19800000000000001</v>
      </c>
      <c r="X1299">
        <v>1</v>
      </c>
      <c r="AB1299">
        <v>1.83E-2</v>
      </c>
      <c r="AC1299">
        <v>0.247</v>
      </c>
      <c r="AK1299" t="s">
        <v>98</v>
      </c>
      <c r="AM1299" t="s">
        <v>98</v>
      </c>
      <c r="AN1299" t="s">
        <v>98</v>
      </c>
      <c r="AO1299" t="s">
        <v>98</v>
      </c>
      <c r="AP1299" t="s">
        <v>99</v>
      </c>
      <c r="AQ1299" t="s">
        <v>102</v>
      </c>
      <c r="AV1299" t="s">
        <v>98</v>
      </c>
      <c r="BF1299" t="s">
        <v>4299</v>
      </c>
      <c r="BG1299" t="s">
        <v>98</v>
      </c>
      <c r="BH1299" t="s">
        <v>98</v>
      </c>
      <c r="BI1299" t="s">
        <v>98</v>
      </c>
      <c r="CL1299" t="s">
        <v>98</v>
      </c>
      <c r="CM1299" t="s">
        <v>98</v>
      </c>
      <c r="CP1299" s="1">
        <v>43595</v>
      </c>
    </row>
    <row r="1300" spans="1:94" x14ac:dyDescent="0.25">
      <c r="A1300" s="4" t="s">
        <v>4300</v>
      </c>
      <c r="B1300" t="str">
        <f xml:space="preserve"> "" &amp; 706411041501</f>
        <v>706411041501</v>
      </c>
      <c r="C1300" t="s">
        <v>4286</v>
      </c>
      <c r="D1300" t="s">
        <v>4288</v>
      </c>
      <c r="F1300" t="s">
        <v>534</v>
      </c>
      <c r="G1300">
        <v>1</v>
      </c>
      <c r="H1300">
        <v>1</v>
      </c>
      <c r="I1300" t="s">
        <v>97</v>
      </c>
      <c r="J1300" s="32">
        <v>18.95</v>
      </c>
      <c r="K1300" s="32">
        <v>56.85</v>
      </c>
      <c r="L1300">
        <v>0</v>
      </c>
      <c r="N1300">
        <v>0</v>
      </c>
      <c r="W1300">
        <v>0.2</v>
      </c>
      <c r="X1300">
        <v>1</v>
      </c>
      <c r="Y1300">
        <v>10.88</v>
      </c>
      <c r="Z1300">
        <v>16.5</v>
      </c>
      <c r="AA1300">
        <v>12.38</v>
      </c>
      <c r="AB1300">
        <v>1.29</v>
      </c>
      <c r="AC1300">
        <v>0.35</v>
      </c>
      <c r="AK1300" t="s">
        <v>98</v>
      </c>
      <c r="AM1300" t="s">
        <v>98</v>
      </c>
      <c r="AN1300" t="s">
        <v>98</v>
      </c>
      <c r="AO1300" t="s">
        <v>98</v>
      </c>
      <c r="AP1300" t="s">
        <v>99</v>
      </c>
      <c r="AQ1300" t="s">
        <v>102</v>
      </c>
      <c r="AV1300" t="s">
        <v>98</v>
      </c>
      <c r="BF1300" t="s">
        <v>4301</v>
      </c>
      <c r="BG1300" t="s">
        <v>98</v>
      </c>
      <c r="BH1300" t="s">
        <v>98</v>
      </c>
      <c r="BI1300" t="s">
        <v>98</v>
      </c>
      <c r="CA1300" t="s">
        <v>4300</v>
      </c>
      <c r="CL1300" t="s">
        <v>291</v>
      </c>
      <c r="CM1300" t="s">
        <v>98</v>
      </c>
      <c r="CO1300" s="1">
        <v>40938</v>
      </c>
      <c r="CP1300" s="1">
        <v>43595</v>
      </c>
    </row>
    <row r="1301" spans="1:94" x14ac:dyDescent="0.25">
      <c r="A1301" s="4" t="s">
        <v>4302</v>
      </c>
      <c r="B1301" t="str">
        <f xml:space="preserve"> "" &amp; 706411041518</f>
        <v>706411041518</v>
      </c>
      <c r="C1301" t="s">
        <v>4286</v>
      </c>
      <c r="D1301" t="s">
        <v>4288</v>
      </c>
      <c r="F1301" t="s">
        <v>534</v>
      </c>
      <c r="G1301">
        <v>1</v>
      </c>
      <c r="H1301">
        <v>1</v>
      </c>
      <c r="I1301" t="s">
        <v>97</v>
      </c>
      <c r="J1301" s="32">
        <v>18.95</v>
      </c>
      <c r="K1301" s="32">
        <v>56.85</v>
      </c>
      <c r="L1301">
        <v>0</v>
      </c>
      <c r="N1301">
        <v>0</v>
      </c>
      <c r="S1301">
        <v>5</v>
      </c>
      <c r="U1301">
        <v>2.25</v>
      </c>
      <c r="V1301">
        <v>0.5</v>
      </c>
      <c r="W1301">
        <v>0.2</v>
      </c>
      <c r="X1301">
        <v>1</v>
      </c>
      <c r="Y1301">
        <v>10.88</v>
      </c>
      <c r="Z1301">
        <v>16.5</v>
      </c>
      <c r="AA1301">
        <v>12.38</v>
      </c>
      <c r="AB1301">
        <v>1.29</v>
      </c>
      <c r="AC1301">
        <v>0.35</v>
      </c>
      <c r="AK1301" t="s">
        <v>98</v>
      </c>
      <c r="AM1301" t="s">
        <v>98</v>
      </c>
      <c r="AN1301" t="s">
        <v>98</v>
      </c>
      <c r="AO1301" t="s">
        <v>98</v>
      </c>
      <c r="AP1301" t="s">
        <v>99</v>
      </c>
      <c r="AQ1301" t="s">
        <v>102</v>
      </c>
      <c r="AV1301" t="s">
        <v>98</v>
      </c>
      <c r="BF1301" t="s">
        <v>4303</v>
      </c>
      <c r="BG1301" t="s">
        <v>98</v>
      </c>
      <c r="BH1301" t="s">
        <v>98</v>
      </c>
      <c r="BI1301" t="s">
        <v>98</v>
      </c>
      <c r="CA1301" t="s">
        <v>4302</v>
      </c>
      <c r="CL1301" t="s">
        <v>291</v>
      </c>
      <c r="CM1301" t="s">
        <v>98</v>
      </c>
      <c r="CO1301" s="1">
        <v>40938</v>
      </c>
      <c r="CP1301" s="1">
        <v>43595</v>
      </c>
    </row>
    <row r="1302" spans="1:94" x14ac:dyDescent="0.25">
      <c r="A1302" s="4" t="s">
        <v>4304</v>
      </c>
      <c r="B1302" t="str">
        <f xml:space="preserve"> "" &amp; 706411041525</f>
        <v>706411041525</v>
      </c>
      <c r="C1302" t="s">
        <v>4286</v>
      </c>
      <c r="D1302" t="s">
        <v>4288</v>
      </c>
      <c r="F1302" t="s">
        <v>534</v>
      </c>
      <c r="G1302">
        <v>1</v>
      </c>
      <c r="H1302">
        <v>1</v>
      </c>
      <c r="I1302" t="s">
        <v>97</v>
      </c>
      <c r="J1302" s="32">
        <v>29.95</v>
      </c>
      <c r="K1302" s="32">
        <v>89.85</v>
      </c>
      <c r="L1302">
        <v>0</v>
      </c>
      <c r="N1302">
        <v>0</v>
      </c>
      <c r="W1302">
        <v>0.46</v>
      </c>
      <c r="X1302">
        <v>1</v>
      </c>
      <c r="Y1302">
        <v>10.88</v>
      </c>
      <c r="Z1302">
        <v>20.88</v>
      </c>
      <c r="AA1302">
        <v>17.13</v>
      </c>
      <c r="AB1302">
        <v>2.25</v>
      </c>
      <c r="AC1302">
        <v>0.64</v>
      </c>
      <c r="AK1302" t="s">
        <v>98</v>
      </c>
      <c r="AM1302" t="s">
        <v>98</v>
      </c>
      <c r="AN1302" t="s">
        <v>98</v>
      </c>
      <c r="AO1302" t="s">
        <v>291</v>
      </c>
      <c r="AP1302" t="s">
        <v>99</v>
      </c>
      <c r="AQ1302" t="s">
        <v>102</v>
      </c>
      <c r="AV1302" t="s">
        <v>98</v>
      </c>
      <c r="AX1302" t="s">
        <v>302</v>
      </c>
      <c r="BF1302" t="s">
        <v>4305</v>
      </c>
      <c r="BG1302" t="s">
        <v>98</v>
      </c>
      <c r="BH1302" t="s">
        <v>98</v>
      </c>
      <c r="BI1302" t="s">
        <v>98</v>
      </c>
      <c r="BK1302" t="s">
        <v>138</v>
      </c>
      <c r="CA1302" t="s">
        <v>4304</v>
      </c>
      <c r="CB1302" t="s">
        <v>302</v>
      </c>
      <c r="CL1302" t="s">
        <v>291</v>
      </c>
      <c r="CM1302" t="s">
        <v>98</v>
      </c>
      <c r="CN1302" t="s">
        <v>553</v>
      </c>
      <c r="CO1302" s="1">
        <v>40938</v>
      </c>
      <c r="CP1302" s="1">
        <v>43609</v>
      </c>
    </row>
    <row r="1303" spans="1:94" x14ac:dyDescent="0.25">
      <c r="A1303" s="4" t="s">
        <v>4306</v>
      </c>
      <c r="B1303" t="str">
        <f xml:space="preserve"> "" &amp; 706411061783</f>
        <v>706411061783</v>
      </c>
      <c r="C1303" t="s">
        <v>4307</v>
      </c>
      <c r="D1303" t="s">
        <v>4308</v>
      </c>
      <c r="F1303" t="s">
        <v>534</v>
      </c>
      <c r="G1303">
        <v>1</v>
      </c>
      <c r="H1303">
        <v>1</v>
      </c>
      <c r="I1303" t="s">
        <v>97</v>
      </c>
      <c r="J1303" s="32">
        <v>29.95</v>
      </c>
      <c r="K1303" s="32">
        <v>89.85</v>
      </c>
      <c r="L1303">
        <v>0</v>
      </c>
      <c r="N1303">
        <v>0</v>
      </c>
      <c r="S1303">
        <v>2.5</v>
      </c>
      <c r="T1303">
        <v>5.75</v>
      </c>
      <c r="U1303">
        <v>3</v>
      </c>
      <c r="W1303">
        <v>0.46</v>
      </c>
      <c r="X1303">
        <v>1</v>
      </c>
      <c r="Y1303">
        <v>2.5</v>
      </c>
      <c r="Z1303">
        <v>5.75</v>
      </c>
      <c r="AA1303">
        <v>3</v>
      </c>
      <c r="AB1303">
        <v>2.5000000000000001E-2</v>
      </c>
      <c r="AC1303">
        <v>0.53</v>
      </c>
      <c r="AK1303" t="s">
        <v>98</v>
      </c>
      <c r="AM1303" t="s">
        <v>98</v>
      </c>
      <c r="AN1303" t="s">
        <v>291</v>
      </c>
      <c r="AO1303" t="s">
        <v>98</v>
      </c>
      <c r="AP1303" t="s">
        <v>99</v>
      </c>
      <c r="AQ1303" t="s">
        <v>102</v>
      </c>
      <c r="AV1303" t="s">
        <v>98</v>
      </c>
      <c r="AX1303" t="s">
        <v>560</v>
      </c>
      <c r="BF1303" t="s">
        <v>4309</v>
      </c>
      <c r="BG1303" t="s">
        <v>98</v>
      </c>
      <c r="BH1303" t="s">
        <v>98</v>
      </c>
      <c r="BI1303" t="s">
        <v>98</v>
      </c>
      <c r="BK1303" t="s">
        <v>138</v>
      </c>
      <c r="CA1303" t="s">
        <v>4306</v>
      </c>
      <c r="CB1303" t="s">
        <v>560</v>
      </c>
      <c r="CL1303" t="s">
        <v>98</v>
      </c>
      <c r="CM1303" t="s">
        <v>98</v>
      </c>
      <c r="CN1303" t="s">
        <v>553</v>
      </c>
      <c r="CO1303" s="1">
        <v>43444</v>
      </c>
      <c r="CP1303" s="1">
        <v>43595</v>
      </c>
    </row>
    <row r="1304" spans="1:94" x14ac:dyDescent="0.25">
      <c r="A1304" s="4" t="s">
        <v>4310</v>
      </c>
      <c r="B1304" t="str">
        <f xml:space="preserve"> "" &amp; 706411008382</f>
        <v>706411008382</v>
      </c>
      <c r="C1304" t="s">
        <v>4311</v>
      </c>
      <c r="D1304" t="s">
        <v>4312</v>
      </c>
      <c r="F1304" t="s">
        <v>534</v>
      </c>
      <c r="G1304">
        <v>1</v>
      </c>
      <c r="H1304">
        <v>1</v>
      </c>
      <c r="I1304" t="s">
        <v>97</v>
      </c>
      <c r="J1304" s="32">
        <v>9.9499999999999993</v>
      </c>
      <c r="K1304" s="32">
        <v>29.85</v>
      </c>
      <c r="L1304">
        <v>0</v>
      </c>
      <c r="N1304">
        <v>0</v>
      </c>
      <c r="S1304">
        <v>4.75</v>
      </c>
      <c r="T1304">
        <v>3.13</v>
      </c>
      <c r="U1304">
        <v>2.38</v>
      </c>
      <c r="W1304">
        <v>0.28599999999999998</v>
      </c>
      <c r="X1304">
        <v>1</v>
      </c>
      <c r="Y1304">
        <v>4.75</v>
      </c>
      <c r="Z1304">
        <v>3.13</v>
      </c>
      <c r="AA1304">
        <v>2.38</v>
      </c>
      <c r="AB1304">
        <v>0.02</v>
      </c>
      <c r="AC1304">
        <v>0.308</v>
      </c>
      <c r="AK1304" t="s">
        <v>98</v>
      </c>
      <c r="AM1304" t="s">
        <v>98</v>
      </c>
      <c r="AN1304" t="s">
        <v>98</v>
      </c>
      <c r="AO1304" t="s">
        <v>98</v>
      </c>
      <c r="AP1304" t="s">
        <v>99</v>
      </c>
      <c r="AQ1304" t="s">
        <v>102</v>
      </c>
      <c r="AV1304" t="s">
        <v>98</v>
      </c>
      <c r="AX1304" t="s">
        <v>302</v>
      </c>
      <c r="AZ1304" t="s">
        <v>109</v>
      </c>
      <c r="BF1304" t="s">
        <v>4313</v>
      </c>
      <c r="BG1304" t="s">
        <v>98</v>
      </c>
      <c r="BH1304" t="s">
        <v>98</v>
      </c>
      <c r="BI1304" t="s">
        <v>98</v>
      </c>
      <c r="BK1304" t="s">
        <v>138</v>
      </c>
      <c r="CA1304" t="s">
        <v>4314</v>
      </c>
      <c r="CB1304" t="s">
        <v>302</v>
      </c>
      <c r="CL1304" t="s">
        <v>98</v>
      </c>
      <c r="CM1304" t="s">
        <v>98</v>
      </c>
      <c r="CP1304" s="1">
        <v>43595</v>
      </c>
    </row>
    <row r="1305" spans="1:94" x14ac:dyDescent="0.25">
      <c r="A1305" s="4" t="s">
        <v>4315</v>
      </c>
      <c r="B1305" t="str">
        <f xml:space="preserve"> "" &amp; 706411008399</f>
        <v>706411008399</v>
      </c>
      <c r="C1305" t="s">
        <v>4311</v>
      </c>
      <c r="D1305" t="s">
        <v>4312</v>
      </c>
      <c r="F1305" t="s">
        <v>534</v>
      </c>
      <c r="G1305">
        <v>1</v>
      </c>
      <c r="H1305">
        <v>1</v>
      </c>
      <c r="I1305" t="s">
        <v>97</v>
      </c>
      <c r="J1305" s="32">
        <v>16.95</v>
      </c>
      <c r="K1305" s="32">
        <v>50.85</v>
      </c>
      <c r="L1305">
        <v>0</v>
      </c>
      <c r="N1305">
        <v>0</v>
      </c>
      <c r="S1305">
        <v>4.75</v>
      </c>
      <c r="T1305">
        <v>3.13</v>
      </c>
      <c r="U1305">
        <v>2.38</v>
      </c>
      <c r="W1305">
        <v>0.28599999999999998</v>
      </c>
      <c r="X1305">
        <v>1</v>
      </c>
      <c r="Y1305">
        <v>4.75</v>
      </c>
      <c r="Z1305">
        <v>3.13</v>
      </c>
      <c r="AA1305">
        <v>2.38</v>
      </c>
      <c r="AB1305">
        <v>0.02</v>
      </c>
      <c r="AC1305">
        <v>0.308</v>
      </c>
      <c r="AK1305" t="s">
        <v>98</v>
      </c>
      <c r="AM1305" t="s">
        <v>98</v>
      </c>
      <c r="AN1305" t="s">
        <v>98</v>
      </c>
      <c r="AO1305" t="s">
        <v>291</v>
      </c>
      <c r="AP1305" t="s">
        <v>99</v>
      </c>
      <c r="AQ1305" t="s">
        <v>102</v>
      </c>
      <c r="AV1305" t="s">
        <v>98</v>
      </c>
      <c r="AX1305" t="s">
        <v>302</v>
      </c>
      <c r="BF1305" t="s">
        <v>4316</v>
      </c>
      <c r="BG1305" t="s">
        <v>98</v>
      </c>
      <c r="BH1305" t="s">
        <v>98</v>
      </c>
      <c r="BI1305" t="s">
        <v>98</v>
      </c>
      <c r="CA1305" t="s">
        <v>4317</v>
      </c>
      <c r="CB1305" t="s">
        <v>302</v>
      </c>
      <c r="CL1305" t="s">
        <v>98</v>
      </c>
      <c r="CM1305" t="s">
        <v>98</v>
      </c>
      <c r="CO1305" s="1">
        <v>38595</v>
      </c>
      <c r="CP1305" s="1">
        <v>43595</v>
      </c>
    </row>
    <row r="1306" spans="1:94" x14ac:dyDescent="0.25">
      <c r="A1306" s="4" t="s">
        <v>4318</v>
      </c>
      <c r="B1306" t="str">
        <f xml:space="preserve"> "" &amp; 706411041938</f>
        <v>706411041938</v>
      </c>
      <c r="C1306" t="s">
        <v>4311</v>
      </c>
      <c r="D1306" t="s">
        <v>4312</v>
      </c>
      <c r="E1306" t="s">
        <v>4319</v>
      </c>
      <c r="F1306" t="s">
        <v>534</v>
      </c>
      <c r="G1306">
        <v>1</v>
      </c>
      <c r="H1306">
        <v>1</v>
      </c>
      <c r="I1306" t="s">
        <v>97</v>
      </c>
      <c r="J1306" s="32">
        <v>16.95</v>
      </c>
      <c r="K1306" s="32">
        <v>50.85</v>
      </c>
      <c r="L1306">
        <v>0</v>
      </c>
      <c r="N1306">
        <v>0</v>
      </c>
      <c r="W1306">
        <v>0.374</v>
      </c>
      <c r="X1306">
        <v>1</v>
      </c>
      <c r="AB1306">
        <v>2.1100000000000001E-2</v>
      </c>
      <c r="AC1306">
        <v>0.40300000000000002</v>
      </c>
      <c r="AK1306" t="s">
        <v>98</v>
      </c>
      <c r="AM1306" t="s">
        <v>98</v>
      </c>
      <c r="AN1306" t="s">
        <v>98</v>
      </c>
      <c r="AO1306" t="s">
        <v>98</v>
      </c>
      <c r="AP1306" t="s">
        <v>99</v>
      </c>
      <c r="AQ1306" t="s">
        <v>102</v>
      </c>
      <c r="AV1306" t="s">
        <v>98</v>
      </c>
      <c r="BF1306" t="s">
        <v>4320</v>
      </c>
      <c r="BG1306" t="s">
        <v>98</v>
      </c>
      <c r="BH1306" t="s">
        <v>98</v>
      </c>
      <c r="BI1306" t="s">
        <v>98</v>
      </c>
      <c r="CL1306" t="s">
        <v>98</v>
      </c>
      <c r="CM1306" t="s">
        <v>98</v>
      </c>
      <c r="CP1306" s="1">
        <v>43595</v>
      </c>
    </row>
    <row r="1307" spans="1:94" x14ac:dyDescent="0.25">
      <c r="A1307" s="4" t="s">
        <v>4321</v>
      </c>
      <c r="B1307" t="str">
        <f xml:space="preserve"> "" &amp; 706411774393</f>
        <v>706411774393</v>
      </c>
      <c r="C1307" t="s">
        <v>4322</v>
      </c>
      <c r="D1307" t="s">
        <v>4312</v>
      </c>
      <c r="F1307" t="s">
        <v>534</v>
      </c>
      <c r="G1307">
        <v>1</v>
      </c>
      <c r="H1307">
        <v>1</v>
      </c>
      <c r="I1307" t="s">
        <v>97</v>
      </c>
      <c r="J1307" s="32">
        <v>8.9499999999999993</v>
      </c>
      <c r="K1307" s="32">
        <v>26.85</v>
      </c>
      <c r="L1307">
        <v>0</v>
      </c>
      <c r="N1307">
        <v>0</v>
      </c>
      <c r="S1307">
        <v>4.75</v>
      </c>
      <c r="T1307">
        <v>3.13</v>
      </c>
      <c r="U1307">
        <v>2.25</v>
      </c>
      <c r="W1307">
        <v>0.31</v>
      </c>
      <c r="X1307">
        <v>1</v>
      </c>
      <c r="Y1307">
        <v>4.75</v>
      </c>
      <c r="Z1307">
        <v>3.13</v>
      </c>
      <c r="AA1307">
        <v>2.25</v>
      </c>
      <c r="AB1307">
        <v>1.9E-2</v>
      </c>
      <c r="AC1307">
        <v>0.37</v>
      </c>
      <c r="AK1307" t="s">
        <v>98</v>
      </c>
      <c r="AM1307" t="s">
        <v>98</v>
      </c>
      <c r="AN1307" t="s">
        <v>98</v>
      </c>
      <c r="AO1307" t="s">
        <v>291</v>
      </c>
      <c r="AP1307" t="s">
        <v>99</v>
      </c>
      <c r="AQ1307" t="s">
        <v>102</v>
      </c>
      <c r="AV1307" t="s">
        <v>98</v>
      </c>
      <c r="AX1307" t="s">
        <v>302</v>
      </c>
      <c r="AZ1307" t="s">
        <v>109</v>
      </c>
      <c r="BF1307" t="s">
        <v>4323</v>
      </c>
      <c r="BG1307" t="s">
        <v>98</v>
      </c>
      <c r="BH1307" t="s">
        <v>98</v>
      </c>
      <c r="BI1307" t="s">
        <v>98</v>
      </c>
      <c r="BK1307" t="s">
        <v>138</v>
      </c>
      <c r="CA1307" t="s">
        <v>4321</v>
      </c>
      <c r="CB1307" t="s">
        <v>302</v>
      </c>
      <c r="CL1307" t="s">
        <v>291</v>
      </c>
      <c r="CM1307" t="s">
        <v>98</v>
      </c>
      <c r="CN1307" t="s">
        <v>553</v>
      </c>
      <c r="CO1307" s="1">
        <v>42432</v>
      </c>
      <c r="CP1307" s="1">
        <v>43595</v>
      </c>
    </row>
    <row r="1308" spans="1:94" x14ac:dyDescent="0.25">
      <c r="A1308" s="4" t="s">
        <v>4324</v>
      </c>
      <c r="B1308" t="str">
        <f xml:space="preserve"> "" &amp; 706411054990</f>
        <v>706411054990</v>
      </c>
      <c r="C1308" t="s">
        <v>4325</v>
      </c>
      <c r="D1308" t="s">
        <v>4312</v>
      </c>
      <c r="F1308" t="s">
        <v>534</v>
      </c>
      <c r="G1308">
        <v>1</v>
      </c>
      <c r="H1308">
        <v>1</v>
      </c>
      <c r="I1308" t="s">
        <v>97</v>
      </c>
      <c r="J1308" s="32">
        <v>9.9499999999999993</v>
      </c>
      <c r="K1308" s="32">
        <v>29.85</v>
      </c>
      <c r="L1308">
        <v>0</v>
      </c>
      <c r="N1308">
        <v>0</v>
      </c>
      <c r="S1308">
        <v>4.75</v>
      </c>
      <c r="T1308">
        <v>3.13</v>
      </c>
      <c r="U1308">
        <v>2.25</v>
      </c>
      <c r="W1308">
        <v>0.31</v>
      </c>
      <c r="X1308">
        <v>1</v>
      </c>
      <c r="Y1308">
        <v>4.75</v>
      </c>
      <c r="Z1308">
        <v>3.13</v>
      </c>
      <c r="AA1308">
        <v>2.25</v>
      </c>
      <c r="AB1308">
        <v>1.9E-2</v>
      </c>
      <c r="AC1308">
        <v>0.33</v>
      </c>
      <c r="AK1308" t="s">
        <v>98</v>
      </c>
      <c r="AM1308" t="s">
        <v>98</v>
      </c>
      <c r="AN1308" t="s">
        <v>98</v>
      </c>
      <c r="AO1308" t="s">
        <v>291</v>
      </c>
      <c r="AP1308" t="s">
        <v>99</v>
      </c>
      <c r="AQ1308" t="s">
        <v>102</v>
      </c>
      <c r="AV1308" t="s">
        <v>98</v>
      </c>
      <c r="AX1308" t="s">
        <v>302</v>
      </c>
      <c r="AZ1308" t="s">
        <v>109</v>
      </c>
      <c r="BF1308" t="s">
        <v>4326</v>
      </c>
      <c r="BG1308" t="s">
        <v>98</v>
      </c>
      <c r="BH1308" t="s">
        <v>98</v>
      </c>
      <c r="BI1308" t="s">
        <v>98</v>
      </c>
      <c r="BK1308" t="s">
        <v>138</v>
      </c>
      <c r="CA1308" t="s">
        <v>4324</v>
      </c>
      <c r="CB1308" t="s">
        <v>302</v>
      </c>
      <c r="CL1308" t="s">
        <v>98</v>
      </c>
      <c r="CM1308" t="s">
        <v>98</v>
      </c>
      <c r="CN1308" t="s">
        <v>553</v>
      </c>
      <c r="CO1308" s="1">
        <v>42473</v>
      </c>
      <c r="CP1308" s="1">
        <v>43595</v>
      </c>
    </row>
    <row r="1309" spans="1:94" x14ac:dyDescent="0.25">
      <c r="A1309" s="4" t="s">
        <v>4327</v>
      </c>
      <c r="B1309" t="str">
        <f xml:space="preserve"> "" &amp; 706411060151</f>
        <v>706411060151</v>
      </c>
      <c r="C1309" t="s">
        <v>4325</v>
      </c>
      <c r="D1309" t="s">
        <v>4328</v>
      </c>
      <c r="F1309" t="s">
        <v>534</v>
      </c>
      <c r="G1309">
        <v>1</v>
      </c>
      <c r="H1309">
        <v>1</v>
      </c>
      <c r="I1309" t="s">
        <v>97</v>
      </c>
      <c r="J1309" s="32">
        <v>15.95</v>
      </c>
      <c r="K1309" s="32">
        <v>47.85</v>
      </c>
      <c r="L1309">
        <v>0</v>
      </c>
      <c r="N1309">
        <v>0</v>
      </c>
      <c r="S1309">
        <v>2.75</v>
      </c>
      <c r="T1309">
        <v>2</v>
      </c>
      <c r="U1309">
        <v>4.5</v>
      </c>
      <c r="W1309">
        <v>0.31</v>
      </c>
      <c r="X1309">
        <v>1</v>
      </c>
      <c r="Y1309">
        <v>3.13</v>
      </c>
      <c r="Z1309">
        <v>4.75</v>
      </c>
      <c r="AA1309">
        <v>2.38</v>
      </c>
      <c r="AB1309">
        <v>0.02</v>
      </c>
      <c r="AC1309">
        <v>0.37</v>
      </c>
      <c r="AK1309" t="s">
        <v>98</v>
      </c>
      <c r="AM1309" t="s">
        <v>98</v>
      </c>
      <c r="AN1309" t="s">
        <v>291</v>
      </c>
      <c r="AO1309" t="s">
        <v>98</v>
      </c>
      <c r="AP1309" t="s">
        <v>99</v>
      </c>
      <c r="AQ1309" t="s">
        <v>102</v>
      </c>
      <c r="AV1309" t="s">
        <v>98</v>
      </c>
      <c r="AX1309" t="s">
        <v>302</v>
      </c>
      <c r="AZ1309" t="s">
        <v>791</v>
      </c>
      <c r="BF1309" t="s">
        <v>4329</v>
      </c>
      <c r="BG1309" t="s">
        <v>98</v>
      </c>
      <c r="BH1309" t="s">
        <v>98</v>
      </c>
      <c r="BI1309" t="s">
        <v>98</v>
      </c>
      <c r="BK1309" t="s">
        <v>138</v>
      </c>
      <c r="CA1309" t="s">
        <v>4327</v>
      </c>
      <c r="CB1309" t="s">
        <v>302</v>
      </c>
      <c r="CL1309" t="s">
        <v>98</v>
      </c>
      <c r="CM1309" t="s">
        <v>98</v>
      </c>
      <c r="CN1309" t="s">
        <v>553</v>
      </c>
      <c r="CO1309" s="1">
        <v>43396</v>
      </c>
      <c r="CP1309" s="1">
        <v>43628</v>
      </c>
    </row>
    <row r="1310" spans="1:94" x14ac:dyDescent="0.25">
      <c r="A1310" s="4" t="s">
        <v>4330</v>
      </c>
      <c r="B1310" t="str">
        <f xml:space="preserve"> "" &amp; 706411026232</f>
        <v>706411026232</v>
      </c>
      <c r="C1310" t="s">
        <v>4311</v>
      </c>
      <c r="D1310" t="s">
        <v>4312</v>
      </c>
      <c r="F1310" t="s">
        <v>551</v>
      </c>
      <c r="G1310">
        <v>1</v>
      </c>
      <c r="H1310">
        <v>1</v>
      </c>
      <c r="I1310" t="s">
        <v>97</v>
      </c>
      <c r="J1310" s="32">
        <v>17.95</v>
      </c>
      <c r="K1310" s="32">
        <v>53.85</v>
      </c>
      <c r="L1310">
        <v>0</v>
      </c>
      <c r="N1310">
        <v>0</v>
      </c>
      <c r="W1310">
        <v>0.33</v>
      </c>
      <c r="X1310">
        <v>1</v>
      </c>
      <c r="AB1310">
        <v>8.2000000000000003E-2</v>
      </c>
      <c r="AC1310">
        <v>1.1200000000000001</v>
      </c>
      <c r="AK1310" t="s">
        <v>98</v>
      </c>
      <c r="AM1310" t="s">
        <v>98</v>
      </c>
      <c r="AN1310" t="s">
        <v>98</v>
      </c>
      <c r="AO1310" t="s">
        <v>98</v>
      </c>
      <c r="AP1310" t="s">
        <v>99</v>
      </c>
      <c r="AQ1310" t="s">
        <v>102</v>
      </c>
      <c r="AV1310" t="s">
        <v>98</v>
      </c>
      <c r="AX1310" t="s">
        <v>302</v>
      </c>
      <c r="AZ1310" t="s">
        <v>109</v>
      </c>
      <c r="BF1310" t="s">
        <v>4331</v>
      </c>
      <c r="BG1310" t="s">
        <v>98</v>
      </c>
      <c r="BH1310" t="s">
        <v>98</v>
      </c>
      <c r="BI1310" t="s">
        <v>98</v>
      </c>
      <c r="BK1310" t="s">
        <v>138</v>
      </c>
      <c r="CA1310" t="s">
        <v>4330</v>
      </c>
      <c r="CB1310" t="s">
        <v>302</v>
      </c>
      <c r="CL1310" t="s">
        <v>291</v>
      </c>
      <c r="CM1310" t="s">
        <v>98</v>
      </c>
      <c r="CN1310" t="s">
        <v>553</v>
      </c>
      <c r="CP1310" s="1">
        <v>43595</v>
      </c>
    </row>
    <row r="1311" spans="1:94" x14ac:dyDescent="0.25">
      <c r="A1311" s="4" t="s">
        <v>4332</v>
      </c>
      <c r="B1311" t="str">
        <f xml:space="preserve"> "" &amp; 706411031427</f>
        <v>706411031427</v>
      </c>
      <c r="C1311" t="s">
        <v>4311</v>
      </c>
      <c r="D1311" t="s">
        <v>4312</v>
      </c>
      <c r="F1311" t="s">
        <v>551</v>
      </c>
      <c r="G1311">
        <v>1</v>
      </c>
      <c r="H1311">
        <v>1</v>
      </c>
      <c r="I1311" t="s">
        <v>97</v>
      </c>
      <c r="J1311" s="32">
        <v>17.95</v>
      </c>
      <c r="K1311" s="32">
        <v>53.85</v>
      </c>
      <c r="L1311">
        <v>0</v>
      </c>
      <c r="N1311">
        <v>0</v>
      </c>
      <c r="W1311">
        <v>0.33</v>
      </c>
      <c r="X1311">
        <v>1</v>
      </c>
      <c r="AB1311">
        <v>8.2000000000000003E-2</v>
      </c>
      <c r="AC1311">
        <v>1.1200000000000001</v>
      </c>
      <c r="AK1311" t="s">
        <v>98</v>
      </c>
      <c r="AM1311" t="s">
        <v>98</v>
      </c>
      <c r="AN1311" t="s">
        <v>98</v>
      </c>
      <c r="AO1311" t="s">
        <v>98</v>
      </c>
      <c r="AP1311" t="s">
        <v>99</v>
      </c>
      <c r="AQ1311" t="s">
        <v>102</v>
      </c>
      <c r="AV1311" t="s">
        <v>98</v>
      </c>
      <c r="AX1311" t="s">
        <v>302</v>
      </c>
      <c r="AZ1311" t="s">
        <v>109</v>
      </c>
      <c r="BF1311" t="s">
        <v>4333</v>
      </c>
      <c r="BG1311" t="s">
        <v>98</v>
      </c>
      <c r="BH1311" t="s">
        <v>98</v>
      </c>
      <c r="BI1311" t="s">
        <v>98</v>
      </c>
      <c r="BK1311" t="s">
        <v>138</v>
      </c>
      <c r="CA1311" t="s">
        <v>4332</v>
      </c>
      <c r="CB1311" t="s">
        <v>302</v>
      </c>
      <c r="CL1311" t="s">
        <v>291</v>
      </c>
      <c r="CM1311" t="s">
        <v>98</v>
      </c>
      <c r="CN1311" t="s">
        <v>553</v>
      </c>
      <c r="CO1311" s="1">
        <v>40599</v>
      </c>
      <c r="CP1311" s="1">
        <v>43595</v>
      </c>
    </row>
    <row r="1312" spans="1:94" x14ac:dyDescent="0.25">
      <c r="A1312" s="4" t="s">
        <v>4334</v>
      </c>
      <c r="B1312" t="str">
        <f xml:space="preserve"> "" &amp; 706411040733</f>
        <v>706411040733</v>
      </c>
      <c r="C1312" t="s">
        <v>4335</v>
      </c>
      <c r="D1312" t="s">
        <v>4336</v>
      </c>
      <c r="F1312" t="s">
        <v>534</v>
      </c>
      <c r="G1312">
        <v>1</v>
      </c>
      <c r="H1312">
        <v>1</v>
      </c>
      <c r="I1312" t="s">
        <v>97</v>
      </c>
      <c r="J1312" s="32">
        <v>19.95</v>
      </c>
      <c r="K1312" s="32">
        <v>59.85</v>
      </c>
      <c r="L1312">
        <v>0</v>
      </c>
      <c r="N1312">
        <v>0</v>
      </c>
      <c r="S1312">
        <v>4.75</v>
      </c>
      <c r="U1312">
        <v>2.75</v>
      </c>
      <c r="W1312">
        <v>0.37</v>
      </c>
      <c r="X1312">
        <v>1</v>
      </c>
      <c r="AB1312">
        <v>5.9799999999999999E-2</v>
      </c>
      <c r="AC1312">
        <v>0.6</v>
      </c>
      <c r="AK1312" t="s">
        <v>98</v>
      </c>
      <c r="AM1312" t="s">
        <v>98</v>
      </c>
      <c r="AN1312" t="s">
        <v>98</v>
      </c>
      <c r="AO1312" t="s">
        <v>291</v>
      </c>
      <c r="AP1312" t="s">
        <v>99</v>
      </c>
      <c r="AQ1312" t="s">
        <v>102</v>
      </c>
      <c r="AV1312" t="s">
        <v>98</v>
      </c>
      <c r="AX1312" t="s">
        <v>302</v>
      </c>
      <c r="AZ1312" t="s">
        <v>109</v>
      </c>
      <c r="BF1312" t="s">
        <v>4337</v>
      </c>
      <c r="BG1312" t="s">
        <v>98</v>
      </c>
      <c r="BH1312" t="s">
        <v>98</v>
      </c>
      <c r="BI1312" t="s">
        <v>98</v>
      </c>
      <c r="BK1312" t="s">
        <v>138</v>
      </c>
      <c r="CA1312" t="s">
        <v>4334</v>
      </c>
      <c r="CB1312" t="s">
        <v>302</v>
      </c>
      <c r="CL1312" t="s">
        <v>291</v>
      </c>
      <c r="CM1312" t="s">
        <v>98</v>
      </c>
      <c r="CN1312" t="s">
        <v>553</v>
      </c>
      <c r="CO1312" s="1">
        <v>42479</v>
      </c>
      <c r="CP1312" s="1">
        <v>43595</v>
      </c>
    </row>
    <row r="1313" spans="1:94" x14ac:dyDescent="0.25">
      <c r="A1313" s="4" t="s">
        <v>4338</v>
      </c>
      <c r="B1313" t="str">
        <f xml:space="preserve"> "" &amp; 706411054785</f>
        <v>706411054785</v>
      </c>
      <c r="C1313" t="s">
        <v>4339</v>
      </c>
      <c r="D1313" t="s">
        <v>4336</v>
      </c>
      <c r="F1313" t="s">
        <v>534</v>
      </c>
      <c r="G1313">
        <v>1</v>
      </c>
      <c r="H1313">
        <v>1</v>
      </c>
      <c r="I1313" t="s">
        <v>97</v>
      </c>
      <c r="J1313" s="32">
        <v>19.95</v>
      </c>
      <c r="K1313" s="32">
        <v>59.85</v>
      </c>
      <c r="L1313">
        <v>0</v>
      </c>
      <c r="N1313">
        <v>0</v>
      </c>
      <c r="S1313">
        <v>4.75</v>
      </c>
      <c r="U1313">
        <v>2.75</v>
      </c>
      <c r="W1313">
        <v>0.37</v>
      </c>
      <c r="X1313">
        <v>1</v>
      </c>
      <c r="AB1313">
        <v>5.9799999999999999E-2</v>
      </c>
      <c r="AC1313">
        <v>0.6</v>
      </c>
      <c r="AK1313" t="s">
        <v>98</v>
      </c>
      <c r="AM1313" t="s">
        <v>98</v>
      </c>
      <c r="AN1313" t="s">
        <v>98</v>
      </c>
      <c r="AO1313" t="s">
        <v>291</v>
      </c>
      <c r="AP1313" t="s">
        <v>99</v>
      </c>
      <c r="AQ1313" t="s">
        <v>102</v>
      </c>
      <c r="AV1313" t="s">
        <v>98</v>
      </c>
      <c r="AX1313" t="s">
        <v>302</v>
      </c>
      <c r="AZ1313" t="s">
        <v>109</v>
      </c>
      <c r="BF1313" t="s">
        <v>4340</v>
      </c>
      <c r="BG1313" t="s">
        <v>98</v>
      </c>
      <c r="BH1313" t="s">
        <v>98</v>
      </c>
      <c r="BI1313" t="s">
        <v>98</v>
      </c>
      <c r="BK1313" t="s">
        <v>138</v>
      </c>
      <c r="CA1313" t="s">
        <v>4338</v>
      </c>
      <c r="CB1313" t="s">
        <v>302</v>
      </c>
      <c r="CL1313" t="s">
        <v>291</v>
      </c>
      <c r="CM1313" t="s">
        <v>98</v>
      </c>
      <c r="CN1313" t="s">
        <v>553</v>
      </c>
      <c r="CO1313" s="1">
        <v>42479</v>
      </c>
      <c r="CP1313" s="1">
        <v>43595</v>
      </c>
    </row>
    <row r="1314" spans="1:94" x14ac:dyDescent="0.25">
      <c r="A1314" s="4" t="s">
        <v>4341</v>
      </c>
      <c r="B1314" t="str">
        <f xml:space="preserve"> "" &amp; 706411054792</f>
        <v>706411054792</v>
      </c>
      <c r="C1314" t="s">
        <v>4335</v>
      </c>
      <c r="D1314" t="s">
        <v>4336</v>
      </c>
      <c r="F1314" t="s">
        <v>534</v>
      </c>
      <c r="G1314">
        <v>1</v>
      </c>
      <c r="H1314">
        <v>1</v>
      </c>
      <c r="I1314" t="s">
        <v>97</v>
      </c>
      <c r="J1314" s="32">
        <v>19.95</v>
      </c>
      <c r="K1314" s="32">
        <v>59.85</v>
      </c>
      <c r="L1314">
        <v>0</v>
      </c>
      <c r="N1314">
        <v>0</v>
      </c>
      <c r="S1314">
        <v>4.75</v>
      </c>
      <c r="U1314">
        <v>2.75</v>
      </c>
      <c r="W1314">
        <v>0.37</v>
      </c>
      <c r="X1314">
        <v>1</v>
      </c>
      <c r="AB1314">
        <v>5.9799999999999999E-2</v>
      </c>
      <c r="AC1314">
        <v>0.6</v>
      </c>
      <c r="AK1314" t="s">
        <v>98</v>
      </c>
      <c r="AM1314" t="s">
        <v>98</v>
      </c>
      <c r="AN1314" t="s">
        <v>98</v>
      </c>
      <c r="AO1314" t="s">
        <v>291</v>
      </c>
      <c r="AP1314" t="s">
        <v>99</v>
      </c>
      <c r="AQ1314" t="s">
        <v>102</v>
      </c>
      <c r="AV1314" t="s">
        <v>98</v>
      </c>
      <c r="AX1314" t="s">
        <v>302</v>
      </c>
      <c r="AZ1314" t="s">
        <v>109</v>
      </c>
      <c r="BF1314" t="s">
        <v>4342</v>
      </c>
      <c r="BG1314" t="s">
        <v>98</v>
      </c>
      <c r="BH1314" t="s">
        <v>98</v>
      </c>
      <c r="BI1314" t="s">
        <v>98</v>
      </c>
      <c r="BK1314" t="s">
        <v>138</v>
      </c>
      <c r="CA1314" t="s">
        <v>4341</v>
      </c>
      <c r="CB1314" t="s">
        <v>302</v>
      </c>
      <c r="CL1314" t="s">
        <v>291</v>
      </c>
      <c r="CM1314" t="s">
        <v>98</v>
      </c>
      <c r="CN1314" t="s">
        <v>553</v>
      </c>
      <c r="CO1314" s="1">
        <v>42479</v>
      </c>
      <c r="CP1314" s="1">
        <v>43595</v>
      </c>
    </row>
    <row r="1315" spans="1:94" x14ac:dyDescent="0.25">
      <c r="A1315" s="4" t="s">
        <v>4343</v>
      </c>
      <c r="B1315" t="str">
        <f xml:space="preserve"> "" &amp; 706411041532</f>
        <v>706411041532</v>
      </c>
      <c r="C1315" t="s">
        <v>4311</v>
      </c>
      <c r="D1315" t="s">
        <v>4312</v>
      </c>
      <c r="F1315" t="s">
        <v>534</v>
      </c>
      <c r="G1315">
        <v>1</v>
      </c>
      <c r="H1315">
        <v>1</v>
      </c>
      <c r="I1315" t="s">
        <v>97</v>
      </c>
      <c r="J1315" s="32">
        <v>19.95</v>
      </c>
      <c r="K1315" s="32">
        <v>59.85</v>
      </c>
      <c r="L1315">
        <v>0</v>
      </c>
      <c r="N1315">
        <v>0</v>
      </c>
      <c r="W1315">
        <v>0.37</v>
      </c>
      <c r="X1315">
        <v>1</v>
      </c>
      <c r="Y1315">
        <v>8.8800000000000008</v>
      </c>
      <c r="Z1315">
        <v>20.88</v>
      </c>
      <c r="AA1315">
        <v>20.25</v>
      </c>
      <c r="AB1315">
        <v>2.17</v>
      </c>
      <c r="AC1315">
        <v>0.6</v>
      </c>
      <c r="AK1315" t="s">
        <v>98</v>
      </c>
      <c r="AM1315" t="s">
        <v>98</v>
      </c>
      <c r="AN1315" t="s">
        <v>98</v>
      </c>
      <c r="AO1315" t="s">
        <v>291</v>
      </c>
      <c r="AP1315" t="s">
        <v>99</v>
      </c>
      <c r="AQ1315" t="s">
        <v>102</v>
      </c>
      <c r="AV1315" t="s">
        <v>98</v>
      </c>
      <c r="AX1315" t="s">
        <v>302</v>
      </c>
      <c r="AZ1315" t="s">
        <v>791</v>
      </c>
      <c r="BF1315" t="s">
        <v>4344</v>
      </c>
      <c r="BG1315" t="s">
        <v>98</v>
      </c>
      <c r="BH1315" t="s">
        <v>98</v>
      </c>
      <c r="BI1315" t="s">
        <v>98</v>
      </c>
      <c r="BK1315" t="s">
        <v>138</v>
      </c>
      <c r="CA1315" t="s">
        <v>4343</v>
      </c>
      <c r="CB1315" t="s">
        <v>302</v>
      </c>
      <c r="CL1315" t="s">
        <v>291</v>
      </c>
      <c r="CM1315" t="s">
        <v>98</v>
      </c>
      <c r="CN1315" t="s">
        <v>553</v>
      </c>
      <c r="CO1315" s="1">
        <v>40833</v>
      </c>
      <c r="CP1315" s="1">
        <v>43595</v>
      </c>
    </row>
    <row r="1316" spans="1:94" x14ac:dyDescent="0.25">
      <c r="A1316" s="4" t="s">
        <v>4345</v>
      </c>
      <c r="B1316" t="str">
        <f xml:space="preserve"> "" &amp; 706411041648</f>
        <v>706411041648</v>
      </c>
      <c r="C1316" t="s">
        <v>4311</v>
      </c>
      <c r="D1316" t="s">
        <v>4312</v>
      </c>
      <c r="F1316" t="s">
        <v>534</v>
      </c>
      <c r="G1316">
        <v>1</v>
      </c>
      <c r="H1316">
        <v>1</v>
      </c>
      <c r="I1316" t="s">
        <v>97</v>
      </c>
      <c r="J1316" s="32">
        <v>19.95</v>
      </c>
      <c r="K1316" s="32">
        <v>59.85</v>
      </c>
      <c r="L1316">
        <v>0</v>
      </c>
      <c r="N1316">
        <v>0</v>
      </c>
      <c r="W1316">
        <v>0.37</v>
      </c>
      <c r="X1316">
        <v>1</v>
      </c>
      <c r="Y1316">
        <v>8.8800000000000008</v>
      </c>
      <c r="Z1316">
        <v>20.88</v>
      </c>
      <c r="AA1316">
        <v>20.25</v>
      </c>
      <c r="AB1316">
        <v>2.17</v>
      </c>
      <c r="AC1316">
        <v>0.6</v>
      </c>
      <c r="AK1316" t="s">
        <v>98</v>
      </c>
      <c r="AM1316" t="s">
        <v>98</v>
      </c>
      <c r="AN1316" t="s">
        <v>98</v>
      </c>
      <c r="AO1316" t="s">
        <v>291</v>
      </c>
      <c r="AP1316" t="s">
        <v>99</v>
      </c>
      <c r="AQ1316" t="s">
        <v>102</v>
      </c>
      <c r="AV1316" t="s">
        <v>98</v>
      </c>
      <c r="AX1316" t="s">
        <v>302</v>
      </c>
      <c r="AZ1316" t="s">
        <v>791</v>
      </c>
      <c r="BF1316" t="s">
        <v>4346</v>
      </c>
      <c r="BG1316" t="s">
        <v>98</v>
      </c>
      <c r="BH1316" t="s">
        <v>98</v>
      </c>
      <c r="BI1316" t="s">
        <v>98</v>
      </c>
      <c r="BK1316" t="s">
        <v>138</v>
      </c>
      <c r="CA1316" t="s">
        <v>4345</v>
      </c>
      <c r="CB1316" t="s">
        <v>302</v>
      </c>
      <c r="CL1316" t="s">
        <v>291</v>
      </c>
      <c r="CM1316" t="s">
        <v>98</v>
      </c>
      <c r="CN1316" t="s">
        <v>553</v>
      </c>
      <c r="CO1316" s="1">
        <v>40833</v>
      </c>
      <c r="CP1316" s="1">
        <v>43595</v>
      </c>
    </row>
    <row r="1317" spans="1:94" x14ac:dyDescent="0.25">
      <c r="A1317" s="4" t="s">
        <v>4347</v>
      </c>
      <c r="B1317" t="str">
        <f xml:space="preserve"> "" &amp; 706411041655</f>
        <v>706411041655</v>
      </c>
      <c r="C1317" t="s">
        <v>4311</v>
      </c>
      <c r="D1317" t="s">
        <v>4312</v>
      </c>
      <c r="F1317" t="s">
        <v>534</v>
      </c>
      <c r="G1317">
        <v>1</v>
      </c>
      <c r="H1317">
        <v>1</v>
      </c>
      <c r="I1317" t="s">
        <v>97</v>
      </c>
      <c r="J1317" s="32">
        <v>31.95</v>
      </c>
      <c r="K1317" s="32">
        <v>95.85</v>
      </c>
      <c r="L1317">
        <v>0</v>
      </c>
      <c r="N1317">
        <v>0</v>
      </c>
      <c r="W1317">
        <v>0.62</v>
      </c>
      <c r="X1317">
        <v>1</v>
      </c>
      <c r="Y1317">
        <v>16.75</v>
      </c>
      <c r="Z1317">
        <v>20.5</v>
      </c>
      <c r="AA1317">
        <v>17.38</v>
      </c>
      <c r="AB1317">
        <v>3.45</v>
      </c>
      <c r="AC1317">
        <v>0.82</v>
      </c>
      <c r="AK1317" t="s">
        <v>98</v>
      </c>
      <c r="AM1317" t="s">
        <v>98</v>
      </c>
      <c r="AN1317" t="s">
        <v>98</v>
      </c>
      <c r="AO1317" t="s">
        <v>291</v>
      </c>
      <c r="AP1317" t="s">
        <v>99</v>
      </c>
      <c r="AQ1317" t="s">
        <v>102</v>
      </c>
      <c r="AV1317" t="s">
        <v>98</v>
      </c>
      <c r="AX1317" t="s">
        <v>302</v>
      </c>
      <c r="AZ1317" t="s">
        <v>791</v>
      </c>
      <c r="BF1317" t="s">
        <v>4348</v>
      </c>
      <c r="BG1317" t="s">
        <v>98</v>
      </c>
      <c r="BH1317" t="s">
        <v>98</v>
      </c>
      <c r="BI1317" t="s">
        <v>98</v>
      </c>
      <c r="BK1317" t="s">
        <v>138</v>
      </c>
      <c r="CA1317" t="s">
        <v>4347</v>
      </c>
      <c r="CB1317" t="s">
        <v>302</v>
      </c>
      <c r="CL1317" t="s">
        <v>291</v>
      </c>
      <c r="CM1317" t="s">
        <v>98</v>
      </c>
      <c r="CN1317" t="s">
        <v>553</v>
      </c>
      <c r="CO1317" s="1">
        <v>40833</v>
      </c>
      <c r="CP1317" s="1">
        <v>43609</v>
      </c>
    </row>
  </sheetData>
  <sortState ref="A4:CP1317">
    <sortCondition ref="A4:A1317"/>
  </sortState>
  <conditionalFormatting sqref="A1:A2">
    <cfRule type="duplicateValues" dxfId="2" priority="3"/>
  </conditionalFormatting>
  <conditionalFormatting sqref="A3">
    <cfRule type="duplicateValues" dxfId="1" priority="2"/>
  </conditionalFormatting>
  <conditionalFormatting sqref="A1:A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AIRE 7-26-19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Williams</dc:creator>
  <cp:lastModifiedBy>Kathryn Kelly</cp:lastModifiedBy>
  <dcterms:created xsi:type="dcterms:W3CDTF">2019-07-26T20:11:45Z</dcterms:created>
  <dcterms:modified xsi:type="dcterms:W3CDTF">2019-08-16T16:20:04Z</dcterms:modified>
</cp:coreProperties>
</file>